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16　ホームページ関係\2019 修正原稿\20190423起案分\"/>
    </mc:Choice>
  </mc:AlternateContent>
  <workbookProtection workbookAlgorithmName="SHA-512" workbookHashValue="JRm0SDX7wakxHb3zLhx5tZTPmDHuVA1vOoz/gDRr43r66Baz1EAiJuebcpYxTomLRJl5TVDTO1KYAFJaFbDa8A==" workbookSaltValue="Y2b8LRrtcdRTfdmUzu2McQ==" workbookSpinCount="100000" lockStructure="1"/>
  <bookViews>
    <workbookView xWindow="240" yWindow="105" windowWidth="24795" windowHeight="12090" activeTab="4"/>
  </bookViews>
  <sheets>
    <sheet name="送付用0" sheetId="17" r:id="rId1"/>
    <sheet name="送付用1" sheetId="12" state="hidden" r:id="rId2"/>
    <sheet name="送付用（給47超）0" sheetId="19" r:id="rId3"/>
    <sheet name="送付用（給46超）1" sheetId="18" state="hidden" r:id="rId4"/>
    <sheet name="入力シート" sheetId="13" r:id="rId5"/>
    <sheet name="Sheet3" sheetId="3" state="hidden" r:id="rId6"/>
    <sheet name="Sheet4" sheetId="23" state="hidden" r:id="rId7"/>
    <sheet name="算定シート1" sheetId="1" state="hidden" r:id="rId8"/>
    <sheet name="算定シート2" sheetId="9" state="hidden" r:id="rId9"/>
    <sheet name="Sheet2" sheetId="2" state="hidden" r:id="rId10"/>
    <sheet name="Sheet1" sheetId="5" state="hidden" r:id="rId11"/>
  </sheets>
  <definedNames>
    <definedName name="_xlnm.Print_Area" localSheetId="7">算定シート1!$A$1:$I$60</definedName>
    <definedName name="_xlnm.Print_Area" localSheetId="3">'送付用（給46超）1'!$E$1:$AE$62</definedName>
    <definedName name="_xlnm.Print_Area" localSheetId="2">'送付用（給47超）0'!$E$1:$AE$62</definedName>
    <definedName name="_xlnm.Print_Area" localSheetId="0">送付用0!$E$1:$AE$62</definedName>
    <definedName name="_xlnm.Print_Area" localSheetId="1">送付用1!$E$1:$AE$62</definedName>
    <definedName name="_xlnm.Print_Area" localSheetId="4">入力シート!$B$1:$M$23</definedName>
  </definedNames>
  <calcPr calcId="162913"/>
</workbook>
</file>

<file path=xl/calcChain.xml><?xml version="1.0" encoding="utf-8"?>
<calcChain xmlns="http://schemas.openxmlformats.org/spreadsheetml/2006/main">
  <c r="Q25" i="23" l="1"/>
  <c r="Q26" i="23"/>
  <c r="Q27" i="23"/>
  <c r="Q28" i="23"/>
  <c r="Q29" i="23"/>
  <c r="Q24" i="23"/>
  <c r="V23" i="23"/>
  <c r="B23" i="23"/>
  <c r="J23" i="23" s="1"/>
  <c r="B3" i="3"/>
  <c r="B25" i="3"/>
  <c r="E12" i="3" l="1"/>
  <c r="J31" i="19" s="1"/>
  <c r="J25" i="3"/>
  <c r="M31" i="19" s="1"/>
  <c r="E23" i="23"/>
  <c r="Q23" i="23"/>
  <c r="Q25" i="3"/>
  <c r="E24" i="9"/>
  <c r="E25" i="3"/>
  <c r="J12" i="3"/>
  <c r="V12" i="3"/>
  <c r="E26" i="9"/>
  <c r="E15" i="23"/>
  <c r="E16" i="23"/>
  <c r="E17" i="23"/>
  <c r="E18" i="23"/>
  <c r="E19" i="23"/>
  <c r="E14" i="23"/>
  <c r="B3" i="23"/>
  <c r="Q12" i="3"/>
  <c r="J31" i="18" l="1"/>
  <c r="M31" i="18"/>
  <c r="O31" i="12"/>
  <c r="O31" i="17"/>
  <c r="M18" i="9"/>
  <c r="M7" i="9"/>
  <c r="W31" i="19"/>
  <c r="V18" i="9"/>
  <c r="G16" i="9"/>
  <c r="G5" i="9"/>
  <c r="I18" i="9"/>
  <c r="E13" i="23"/>
  <c r="E3" i="3"/>
  <c r="Q3" i="23"/>
  <c r="E3" i="23"/>
  <c r="W31" i="18"/>
  <c r="Q3" i="3"/>
  <c r="AH2" i="18" l="1"/>
  <c r="AH2" i="19"/>
  <c r="AA2" i="18" l="1"/>
  <c r="AA2" i="19"/>
  <c r="AA2" i="12"/>
  <c r="AA2" i="17"/>
  <c r="F9" i="13" l="1"/>
  <c r="O9" i="13" s="1"/>
  <c r="T75" i="19" l="1"/>
  <c r="AP35" i="19" s="1"/>
  <c r="L75" i="19"/>
  <c r="AH57" i="19"/>
  <c r="AL57" i="19" s="1"/>
  <c r="Q57" i="19" s="1"/>
  <c r="AH35" i="19"/>
  <c r="L20" i="19"/>
  <c r="AH20" i="19" s="1"/>
  <c r="S20" i="19" s="1"/>
  <c r="T23" i="19" s="1"/>
  <c r="L17" i="19"/>
  <c r="AH17" i="19" s="1"/>
  <c r="S17" i="19" s="1"/>
  <c r="P75" i="19" s="1"/>
  <c r="L14" i="19"/>
  <c r="AH14" i="19" s="1"/>
  <c r="S14" i="19" s="1"/>
  <c r="AL35" i="19" s="1"/>
  <c r="T10" i="19"/>
  <c r="P10" i="19"/>
  <c r="L10" i="19"/>
  <c r="H10" i="19"/>
  <c r="V1" i="19"/>
  <c r="AT35" i="19" l="1"/>
  <c r="AM31" i="19"/>
  <c r="X75" i="19" s="1"/>
  <c r="L51" i="19"/>
  <c r="V47" i="19"/>
  <c r="W48" i="19" s="1"/>
  <c r="AH10" i="19"/>
  <c r="AA10" i="19" s="1"/>
  <c r="T31" i="19" s="1"/>
  <c r="L23" i="19"/>
  <c r="P23" i="19"/>
  <c r="X23" i="19" l="1"/>
  <c r="Q39" i="19"/>
  <c r="AH57" i="18"/>
  <c r="AL57" i="18" s="1"/>
  <c r="Q57" i="18" s="1"/>
  <c r="L20" i="18"/>
  <c r="AH20" i="18" s="1"/>
  <c r="S20" i="18" s="1"/>
  <c r="T23" i="18" s="1"/>
  <c r="L17" i="18"/>
  <c r="V47" i="18" s="1"/>
  <c r="W48" i="18" s="1"/>
  <c r="L14" i="18"/>
  <c r="AH14" i="18" s="1"/>
  <c r="S14" i="18" s="1"/>
  <c r="T10" i="18"/>
  <c r="P10" i="18"/>
  <c r="L10" i="18"/>
  <c r="H10" i="18"/>
  <c r="V1" i="18"/>
  <c r="AH17" i="18" l="1"/>
  <c r="S17" i="18" s="1"/>
  <c r="P23" i="18" s="1"/>
  <c r="L23" i="18"/>
  <c r="AL35" i="18"/>
  <c r="AH10" i="18"/>
  <c r="AA10" i="18" s="1"/>
  <c r="T31" i="18" s="1"/>
  <c r="V39" i="19"/>
  <c r="AL39" i="19" s="1"/>
  <c r="G31" i="19"/>
  <c r="AH31" i="19" s="1"/>
  <c r="L51" i="18"/>
  <c r="AQ31" i="19" l="1"/>
  <c r="P75" i="18"/>
  <c r="X23" i="18"/>
  <c r="G31" i="18" s="1"/>
  <c r="AH31" i="18" s="1"/>
  <c r="Q39" i="18"/>
  <c r="L20" i="17"/>
  <c r="AH20" i="17" s="1"/>
  <c r="S20" i="17" s="1"/>
  <c r="T23" i="17" s="1"/>
  <c r="L20" i="12"/>
  <c r="AH20" i="12" s="1"/>
  <c r="S20" i="12" s="1"/>
  <c r="T23" i="12" s="1"/>
  <c r="O15" i="13"/>
  <c r="O12" i="13"/>
  <c r="AA32" i="19" l="1"/>
  <c r="AB31" i="19"/>
  <c r="L39" i="19" s="1"/>
  <c r="Z40" i="19" s="1"/>
  <c r="AQ31" i="18"/>
  <c r="V39" i="18"/>
  <c r="B15" i="13"/>
  <c r="B12" i="13"/>
  <c r="AA32" i="18" l="1"/>
  <c r="AB31" i="18"/>
  <c r="L39" i="18" s="1"/>
  <c r="Z40" i="18" s="1"/>
  <c r="AL40" i="19"/>
  <c r="AL41" i="19" s="1"/>
  <c r="AH39" i="19"/>
  <c r="AP39" i="19" s="1"/>
  <c r="AT39" i="19" s="1"/>
  <c r="T75" i="18"/>
  <c r="AP35" i="18" s="1"/>
  <c r="V1" i="12"/>
  <c r="V1" i="17"/>
  <c r="AH57" i="17"/>
  <c r="AH57" i="12"/>
  <c r="AA39" i="19" l="1"/>
  <c r="L47" i="19" s="1"/>
  <c r="AH47" i="19" s="1"/>
  <c r="AP47" i="19"/>
  <c r="AT47" i="19" s="1"/>
  <c r="AL57" i="17"/>
  <c r="Q57" i="17" s="1"/>
  <c r="L17" i="17"/>
  <c r="AH17" i="17" s="1"/>
  <c r="S17" i="17" s="1"/>
  <c r="P23" i="17" s="1"/>
  <c r="L14" i="17"/>
  <c r="AH14" i="17" s="1"/>
  <c r="S14" i="17" s="1"/>
  <c r="L23" i="17" s="1"/>
  <c r="T10" i="17"/>
  <c r="P10" i="17"/>
  <c r="L10" i="17"/>
  <c r="H10" i="17"/>
  <c r="N66" i="19" l="1"/>
  <c r="J66" i="19"/>
  <c r="R66" i="19"/>
  <c r="Q51" i="19"/>
  <c r="V51" i="19" s="1"/>
  <c r="AH39" i="18"/>
  <c r="AH35" i="18"/>
  <c r="AT35" i="18" s="1"/>
  <c r="L75" i="18"/>
  <c r="AM31" i="18" s="1"/>
  <c r="X75" i="18" s="1"/>
  <c r="X23" i="17"/>
  <c r="Q39" i="17"/>
  <c r="AH10" i="17"/>
  <c r="AA10" i="17" s="1"/>
  <c r="U7" i="17" s="1"/>
  <c r="P80" i="17"/>
  <c r="AL35" i="17"/>
  <c r="L51" i="17"/>
  <c r="G9" i="13"/>
  <c r="L57" i="19" l="1"/>
  <c r="V57" i="19" s="1"/>
  <c r="V52" i="19"/>
  <c r="G31" i="17"/>
  <c r="AA39" i="18"/>
  <c r="L47" i="18" s="1"/>
  <c r="AP39" i="18"/>
  <c r="AT39" i="18" s="1"/>
  <c r="V39" i="17"/>
  <c r="K31" i="17"/>
  <c r="AH31" i="17" l="1"/>
  <c r="AH47" i="18"/>
  <c r="N66" i="18"/>
  <c r="J66" i="18"/>
  <c r="AL39" i="17"/>
  <c r="Q51" i="18" l="1"/>
  <c r="V51" i="18" s="1"/>
  <c r="L57" i="18" s="1"/>
  <c r="V57" i="18" s="1"/>
  <c r="AP47" i="18"/>
  <c r="AT47" i="18" s="1"/>
  <c r="R66" i="18"/>
  <c r="T80" i="17"/>
  <c r="AP35" i="17" s="1"/>
  <c r="U31" i="17"/>
  <c r="Y32" i="17" s="1"/>
  <c r="Z31" i="17" l="1"/>
  <c r="L39" i="17" l="1"/>
  <c r="Z40" i="17" s="1"/>
  <c r="AH35" i="17"/>
  <c r="AT35" i="17" s="1"/>
  <c r="L80" i="17"/>
  <c r="AM31" i="17" s="1"/>
  <c r="X80" i="17" s="1"/>
  <c r="AH39" i="17" l="1"/>
  <c r="AL40" i="17"/>
  <c r="AA39" i="17" s="1"/>
  <c r="AL41" i="17" l="1"/>
  <c r="L47" i="17"/>
  <c r="AP39" i="17"/>
  <c r="AT39" i="17" s="1"/>
  <c r="D26" i="1"/>
  <c r="D27" i="1" s="1"/>
  <c r="D22" i="1"/>
  <c r="D21" i="1"/>
  <c r="D8" i="1"/>
  <c r="D7" i="1"/>
  <c r="D6" i="1"/>
  <c r="D5" i="1"/>
  <c r="F57" i="1"/>
  <c r="F24" i="1"/>
  <c r="C17" i="1"/>
  <c r="B17" i="1" s="1"/>
  <c r="C16" i="1"/>
  <c r="B16" i="1" s="1"/>
  <c r="C15" i="1"/>
  <c r="B15" i="1" s="1"/>
  <c r="C14" i="1"/>
  <c r="B14" i="1" s="1"/>
  <c r="C13" i="1"/>
  <c r="B13" i="1" s="1"/>
  <c r="C12" i="1"/>
  <c r="B12" i="1" s="1"/>
  <c r="C11" i="1"/>
  <c r="B11" i="1" s="1"/>
  <c r="C10" i="1"/>
  <c r="B10" i="1" s="1"/>
  <c r="C9" i="1"/>
  <c r="B9" i="1" s="1"/>
  <c r="C8" i="1"/>
  <c r="B8" i="1" s="1"/>
  <c r="C7" i="1"/>
  <c r="B7" i="1" s="1"/>
  <c r="C6" i="1"/>
  <c r="B6" i="1" s="1"/>
  <c r="V47" i="17" l="1"/>
  <c r="W48" i="17" s="1"/>
  <c r="AL14" i="19"/>
  <c r="AL14" i="18"/>
  <c r="AL14" i="17"/>
  <c r="AH47" i="17"/>
  <c r="M66" i="17"/>
  <c r="M67" i="17"/>
  <c r="D36" i="1"/>
  <c r="D23" i="1"/>
  <c r="D19" i="1"/>
  <c r="D35" i="1"/>
  <c r="D18" i="1"/>
  <c r="AL17" i="19" l="1"/>
  <c r="AL17" i="18"/>
  <c r="AL10" i="19"/>
  <c r="AL10" i="18"/>
  <c r="AL17" i="17"/>
  <c r="AL10" i="17"/>
  <c r="Q51" i="17"/>
  <c r="V51" i="17" s="1"/>
  <c r="M68" i="17"/>
  <c r="AP47" i="17"/>
  <c r="AT47" i="17" s="1"/>
  <c r="D37" i="1"/>
  <c r="G36" i="1" s="1"/>
  <c r="I36" i="1" s="1"/>
  <c r="G21" i="1"/>
  <c r="I21" i="1" s="1"/>
  <c r="G22" i="1"/>
  <c r="I22" i="1" s="1"/>
  <c r="G26" i="1"/>
  <c r="I26" i="1" s="1"/>
  <c r="G28" i="1"/>
  <c r="I28" i="1" s="1"/>
  <c r="G20" i="1"/>
  <c r="I20" i="1" s="1"/>
  <c r="G23" i="1"/>
  <c r="I23" i="1" s="1"/>
  <c r="D24" i="1"/>
  <c r="G27" i="1"/>
  <c r="I27" i="1" s="1"/>
  <c r="G29" i="1"/>
  <c r="I29" i="1" s="1"/>
  <c r="L57" i="17" l="1"/>
  <c r="V57" i="17" s="1"/>
  <c r="G38" i="1"/>
  <c r="I38" i="1" s="1"/>
  <c r="G35" i="1"/>
  <c r="I35" i="1" s="1"/>
  <c r="G37" i="1"/>
  <c r="I37" i="1" s="1"/>
  <c r="D28" i="1"/>
  <c r="D44" i="1" l="1"/>
  <c r="D38" i="1"/>
  <c r="D50" i="1"/>
  <c r="G44" i="1" l="1"/>
  <c r="D46" i="1" s="1"/>
  <c r="G50" i="1"/>
  <c r="D53" i="1" s="1"/>
  <c r="D41" i="1"/>
  <c r="D40" i="1"/>
  <c r="D47" i="1" l="1"/>
  <c r="D52" i="1"/>
  <c r="D57" i="1" l="1"/>
  <c r="D59" i="1"/>
  <c r="D60" i="1" s="1"/>
  <c r="H57" i="1"/>
  <c r="AL47" i="19" l="1"/>
  <c r="AL47" i="18"/>
  <c r="AL47" i="17"/>
  <c r="D58" i="1"/>
  <c r="T10" i="12"/>
  <c r="AX47" i="19" l="1"/>
  <c r="AX47" i="18"/>
  <c r="AX47" i="17"/>
  <c r="L14" i="12"/>
  <c r="AH14" i="12" s="1"/>
  <c r="L17" i="12"/>
  <c r="P10" i="12"/>
  <c r="L10" i="12"/>
  <c r="H10" i="12"/>
  <c r="AH17" i="12" l="1"/>
  <c r="L51" i="12"/>
  <c r="S14" i="12"/>
  <c r="AH10" i="12"/>
  <c r="AA10" i="12" s="1"/>
  <c r="U7" i="12" s="1"/>
  <c r="E7" i="9" l="1"/>
  <c r="L23" i="12"/>
  <c r="AL35" i="12"/>
  <c r="G31" i="12"/>
  <c r="AL57" i="12" l="1"/>
  <c r="Q57" i="12" s="1"/>
  <c r="S17" i="12" l="1"/>
  <c r="N5" i="13"/>
  <c r="O6" i="13" l="1"/>
  <c r="P23" i="12"/>
  <c r="P75" i="12"/>
  <c r="B9" i="13"/>
  <c r="O18" i="13" l="1"/>
  <c r="B6" i="13"/>
  <c r="Q39" i="12"/>
  <c r="X23" i="12"/>
  <c r="O20" i="13" l="1"/>
  <c r="P15" i="13"/>
  <c r="P12" i="13"/>
  <c r="P9" i="13"/>
  <c r="P6" i="13"/>
  <c r="V39" i="12"/>
  <c r="I7" i="9"/>
  <c r="AA13" i="9" s="1"/>
  <c r="K31" i="12"/>
  <c r="T75" i="12" l="1"/>
  <c r="AP35" i="12" s="1"/>
  <c r="AH31" i="12"/>
  <c r="U31" i="12" s="1"/>
  <c r="Y32" i="12" s="1"/>
  <c r="Z31" i="12" l="1"/>
  <c r="L39" i="12" s="1"/>
  <c r="Z40" i="12" s="1"/>
  <c r="AH35" i="12" l="1"/>
  <c r="AT35" i="12" s="1"/>
  <c r="L75" i="12"/>
  <c r="AM31" i="12" s="1"/>
  <c r="X75" i="12" s="1"/>
  <c r="AL14" i="12"/>
  <c r="AL17" i="12"/>
  <c r="AL10" i="12"/>
  <c r="E18" i="9" l="1"/>
  <c r="S7" i="9" l="1"/>
  <c r="S18" i="9"/>
  <c r="C18" i="9"/>
  <c r="C7" i="9"/>
  <c r="AA24" i="9" l="1"/>
  <c r="AA18" i="9" s="1"/>
  <c r="AE18" i="9" s="1"/>
  <c r="AI18" i="9" s="1"/>
  <c r="W7" i="9"/>
  <c r="AA7" i="9" s="1"/>
  <c r="AL47" i="12" l="1"/>
  <c r="AX47" i="12" l="1"/>
  <c r="AH39" i="12" l="1"/>
  <c r="AA39" i="12" l="1"/>
  <c r="AP39" i="12"/>
  <c r="AT39" i="12" s="1"/>
  <c r="L47" i="12" l="1"/>
  <c r="V47" i="12" s="1"/>
  <c r="W48" i="12" l="1"/>
  <c r="Q51" i="12"/>
  <c r="V51" i="12" s="1"/>
  <c r="L57" i="12" s="1"/>
  <c r="V57" i="12" s="1"/>
  <c r="AH47" i="12"/>
  <c r="J66" i="12"/>
  <c r="N66" i="12"/>
  <c r="R66" i="12"/>
  <c r="AP47" i="12"/>
  <c r="AT47" i="12" s="1"/>
</calcChain>
</file>

<file path=xl/sharedStrings.xml><?xml version="1.0" encoding="utf-8"?>
<sst xmlns="http://schemas.openxmlformats.org/spreadsheetml/2006/main" count="748" uniqueCount="286">
  <si>
    <t>停止対象月</t>
    <rPh sb="0" eb="2">
      <t>テイシ</t>
    </rPh>
    <rPh sb="2" eb="4">
      <t>タイショウ</t>
    </rPh>
    <rPh sb="4" eb="5">
      <t>ツキ</t>
    </rPh>
    <phoneticPr fontId="2"/>
  </si>
  <si>
    <t>標準報酬月額</t>
    <rPh sb="0" eb="2">
      <t>ヒョウジュン</t>
    </rPh>
    <rPh sb="2" eb="4">
      <t>ホウシュウ</t>
    </rPh>
    <rPh sb="4" eb="6">
      <t>ゲツガク</t>
    </rPh>
    <phoneticPr fontId="2"/>
  </si>
  <si>
    <t>総報酬月額相当額</t>
    <rPh sb="0" eb="1">
      <t>ソウ</t>
    </rPh>
    <rPh sb="1" eb="3">
      <t>ホウシュウ</t>
    </rPh>
    <rPh sb="3" eb="5">
      <t>ゲツガク</t>
    </rPh>
    <rPh sb="5" eb="7">
      <t>ソウトウ</t>
    </rPh>
    <rPh sb="7" eb="8">
      <t>ガク</t>
    </rPh>
    <phoneticPr fontId="2"/>
  </si>
  <si>
    <t>退職共済年金</t>
    <rPh sb="0" eb="2">
      <t>タイショク</t>
    </rPh>
    <rPh sb="2" eb="4">
      <t>キョウサイ</t>
    </rPh>
    <rPh sb="4" eb="6">
      <t>ネンキン</t>
    </rPh>
    <phoneticPr fontId="2"/>
  </si>
  <si>
    <t>調整前特例支給停止額</t>
    <rPh sb="0" eb="2">
      <t>チョウセイ</t>
    </rPh>
    <rPh sb="2" eb="3">
      <t>マエ</t>
    </rPh>
    <rPh sb="3" eb="5">
      <t>トクレイ</t>
    </rPh>
    <rPh sb="5" eb="7">
      <t>シキュウ</t>
    </rPh>
    <rPh sb="7" eb="9">
      <t>テイシ</t>
    </rPh>
    <rPh sb="9" eb="10">
      <t>ガク</t>
    </rPh>
    <phoneticPr fontId="2"/>
  </si>
  <si>
    <t>老齢厚生年金</t>
    <rPh sb="0" eb="2">
      <t>ロウレイ</t>
    </rPh>
    <rPh sb="2" eb="4">
      <t>コウセイ</t>
    </rPh>
    <rPh sb="4" eb="6">
      <t>ネンキン</t>
    </rPh>
    <phoneticPr fontId="2"/>
  </si>
  <si>
    <t>基本月額</t>
    <rPh sb="0" eb="2">
      <t>キホン</t>
    </rPh>
    <rPh sb="2" eb="4">
      <t>ゲツガク</t>
    </rPh>
    <phoneticPr fontId="2"/>
  </si>
  <si>
    <t>　●第１項（低在老）</t>
    <rPh sb="2" eb="3">
      <t>ダイ</t>
    </rPh>
    <rPh sb="4" eb="5">
      <t>コウ</t>
    </rPh>
    <rPh sb="6" eb="7">
      <t>テイ</t>
    </rPh>
    <rPh sb="7" eb="8">
      <t>ザイ</t>
    </rPh>
    <rPh sb="8" eb="9">
      <t>ロウ</t>
    </rPh>
    <phoneticPr fontId="2"/>
  </si>
  <si>
    <t>給料比例部分</t>
    <rPh sb="0" eb="2">
      <t>キュウリョウ</t>
    </rPh>
    <rPh sb="2" eb="4">
      <t>ヒレイ</t>
    </rPh>
    <rPh sb="4" eb="6">
      <t>ブブン</t>
    </rPh>
    <phoneticPr fontId="2"/>
  </si>
  <si>
    <t>計</t>
    <rPh sb="0" eb="1">
      <t>ケイ</t>
    </rPh>
    <phoneticPr fontId="2"/>
  </si>
  <si>
    <t>支給停止額</t>
    <rPh sb="0" eb="2">
      <t>シキュウ</t>
    </rPh>
    <rPh sb="2" eb="4">
      <t>テイシ</t>
    </rPh>
    <rPh sb="4" eb="5">
      <t>ガク</t>
    </rPh>
    <phoneticPr fontId="2"/>
  </si>
  <si>
    <t>報酬比例部分</t>
    <rPh sb="0" eb="2">
      <t>ホウシュウ</t>
    </rPh>
    <rPh sb="2" eb="4">
      <t>ヒレイ</t>
    </rPh>
    <rPh sb="4" eb="6">
      <t>ブブン</t>
    </rPh>
    <phoneticPr fontId="2"/>
  </si>
  <si>
    <t>　●第２項（10％配慮措置）</t>
    <rPh sb="2" eb="3">
      <t>ダイ</t>
    </rPh>
    <rPh sb="4" eb="5">
      <t>コウ</t>
    </rPh>
    <rPh sb="9" eb="11">
      <t>ハイリョ</t>
    </rPh>
    <rPh sb="11" eb="13">
      <t>ソチ</t>
    </rPh>
    <phoneticPr fontId="2"/>
  </si>
  <si>
    <t>○支給停止額</t>
    <rPh sb="1" eb="3">
      <t>シキュウ</t>
    </rPh>
    <rPh sb="3" eb="5">
      <t>テイシ</t>
    </rPh>
    <rPh sb="5" eb="6">
      <t>ガク</t>
    </rPh>
    <phoneticPr fontId="2"/>
  </si>
  <si>
    <t>支給額</t>
    <rPh sb="0" eb="3">
      <t>シキュウガク</t>
    </rPh>
    <phoneticPr fontId="2"/>
  </si>
  <si>
    <t>○一元化法附則第17条第２項の規定により準用する同法附則第15条</t>
    <rPh sb="1" eb="4">
      <t>イチゲンカ</t>
    </rPh>
    <rPh sb="4" eb="5">
      <t>ホウ</t>
    </rPh>
    <rPh sb="5" eb="7">
      <t>フソク</t>
    </rPh>
    <rPh sb="7" eb="8">
      <t>ダイ</t>
    </rPh>
    <rPh sb="10" eb="11">
      <t>ジョウ</t>
    </rPh>
    <rPh sb="11" eb="12">
      <t>ダイ</t>
    </rPh>
    <rPh sb="13" eb="14">
      <t>コウ</t>
    </rPh>
    <rPh sb="15" eb="17">
      <t>キテイ</t>
    </rPh>
    <rPh sb="20" eb="22">
      <t>ジュンヨウ</t>
    </rPh>
    <rPh sb="24" eb="26">
      <t>ドウホウ</t>
    </rPh>
    <rPh sb="26" eb="28">
      <t>フソク</t>
    </rPh>
    <rPh sb="28" eb="29">
      <t>ダイ</t>
    </rPh>
    <rPh sb="31" eb="32">
      <t>ジョウ</t>
    </rPh>
    <phoneticPr fontId="2"/>
  </si>
  <si>
    <t>　●第２項（35万円配慮措置）</t>
    <rPh sb="2" eb="3">
      <t>ダイ</t>
    </rPh>
    <rPh sb="4" eb="5">
      <t>コウ</t>
    </rPh>
    <rPh sb="8" eb="10">
      <t>マンエン</t>
    </rPh>
    <rPh sb="10" eb="12">
      <t>ハイリョ</t>
    </rPh>
    <rPh sb="12" eb="14">
      <t>ソチ</t>
    </rPh>
    <phoneticPr fontId="2"/>
  </si>
  <si>
    <t>⑫特退共・特老厚支給停止額</t>
    <rPh sb="1" eb="2">
      <t>トク</t>
    </rPh>
    <rPh sb="2" eb="3">
      <t>タイ</t>
    </rPh>
    <rPh sb="3" eb="4">
      <t>キョウ</t>
    </rPh>
    <rPh sb="5" eb="6">
      <t>トク</t>
    </rPh>
    <rPh sb="6" eb="7">
      <t>ロウ</t>
    </rPh>
    <rPh sb="7" eb="8">
      <t>コウ</t>
    </rPh>
    <rPh sb="8" eb="10">
      <t>シキュウ</t>
    </rPh>
    <rPh sb="10" eb="12">
      <t>テイシ</t>
    </rPh>
    <rPh sb="12" eb="13">
      <t>ガク</t>
    </rPh>
    <phoneticPr fontId="2"/>
  </si>
  <si>
    <r>
      <t>　　</t>
    </r>
    <r>
      <rPr>
        <sz val="10"/>
        <color theme="1"/>
        <rFont val="ＭＳ Ｐゴシック"/>
        <family val="3"/>
        <charset val="128"/>
        <scheme val="minor"/>
      </rPr>
      <t>（③＋⑪－⑦－⑩）－35万＋⑦＋⑩＝</t>
    </r>
    <rPh sb="14" eb="15">
      <t>マン</t>
    </rPh>
    <phoneticPr fontId="2"/>
  </si>
  <si>
    <t>27年10月より前から引き続き</t>
    <rPh sb="2" eb="3">
      <t>ネン</t>
    </rPh>
    <rPh sb="5" eb="6">
      <t>ガツ</t>
    </rPh>
    <rPh sb="8" eb="9">
      <t>マエ</t>
    </rPh>
    <rPh sb="11" eb="12">
      <t>ヒ</t>
    </rPh>
    <rPh sb="13" eb="14">
      <t>ツヅ</t>
    </rPh>
    <phoneticPr fontId="2"/>
  </si>
  <si>
    <t>民間在職中</t>
    <rPh sb="0" eb="2">
      <t>ミンカン</t>
    </rPh>
    <rPh sb="2" eb="5">
      <t>ザイショクチュウ</t>
    </rPh>
    <phoneticPr fontId="2"/>
  </si>
  <si>
    <t>共済加入中</t>
    <rPh sb="0" eb="2">
      <t>キョウサイ</t>
    </rPh>
    <rPh sb="2" eb="4">
      <t>カニュウ</t>
    </rPh>
    <rPh sb="4" eb="5">
      <t>チュウ</t>
    </rPh>
    <phoneticPr fontId="2"/>
  </si>
  <si>
    <t>退職共済年金・老齢厚生年金支給停止額計算書（65歳未満）</t>
    <rPh sb="0" eb="2">
      <t>タイショク</t>
    </rPh>
    <rPh sb="2" eb="4">
      <t>キョウサイ</t>
    </rPh>
    <rPh sb="4" eb="6">
      <t>ネンキン</t>
    </rPh>
    <rPh sb="7" eb="9">
      <t>ロウレイ</t>
    </rPh>
    <rPh sb="9" eb="11">
      <t>コウセイ</t>
    </rPh>
    <rPh sb="11" eb="13">
      <t>ネンキン</t>
    </rPh>
    <rPh sb="13" eb="15">
      <t>シキュウ</t>
    </rPh>
    <rPh sb="15" eb="17">
      <t>テイシ</t>
    </rPh>
    <rPh sb="17" eb="18">
      <t>ガク</t>
    </rPh>
    <rPh sb="18" eb="21">
      <t>ケイサンショ</t>
    </rPh>
    <rPh sb="24" eb="25">
      <t>サイ</t>
    </rPh>
    <rPh sb="25" eb="27">
      <t>ミマン</t>
    </rPh>
    <phoneticPr fontId="2"/>
  </si>
  <si>
    <t>⑦特退共支給停止額</t>
    <rPh sb="2" eb="3">
      <t>タイ</t>
    </rPh>
    <rPh sb="3" eb="4">
      <t>キョウ</t>
    </rPh>
    <phoneticPr fontId="2"/>
  </si>
  <si>
    <t>⑥≦28万、かつ、③≦47万</t>
  </si>
  <si>
    <t>⑥≦28万、かつ、47万＜③</t>
  </si>
  <si>
    <t>28万＜⑥、かつ、③≦47万</t>
  </si>
  <si>
    <t>28万＜⑥、かつ、47万＜③</t>
  </si>
  <si>
    <t>⑨≦28万、かつ、③≦47万</t>
    <rPh sb="4" eb="5">
      <t>マン</t>
    </rPh>
    <phoneticPr fontId="2"/>
  </si>
  <si>
    <t>⑨≦28万、かつ、47万＜③</t>
    <rPh sb="4" eb="5">
      <t>マン</t>
    </rPh>
    <phoneticPr fontId="2"/>
  </si>
  <si>
    <t>28万＜⑨、かつ、③≦47万</t>
    <rPh sb="2" eb="3">
      <t>マン</t>
    </rPh>
    <phoneticPr fontId="2"/>
  </si>
  <si>
    <t>28万＜⑨、かつ、47万＜③</t>
    <rPh sb="2" eb="3">
      <t>マン</t>
    </rPh>
    <phoneticPr fontId="2"/>
  </si>
  <si>
    <t>⑪≦28万、かつ、③≦47万</t>
    <rPh sb="4" eb="5">
      <t>マン</t>
    </rPh>
    <phoneticPr fontId="2"/>
  </si>
  <si>
    <t>⑪≦28万、かつ、47万＜③</t>
    <rPh sb="4" eb="5">
      <t>マン</t>
    </rPh>
    <phoneticPr fontId="2"/>
  </si>
  <si>
    <t>28万＜⑪、かつ、③≦47万</t>
    <rPh sb="2" eb="3">
      <t>マン</t>
    </rPh>
    <phoneticPr fontId="2"/>
  </si>
  <si>
    <t>28万＜⑪、かつ、47万＜③</t>
    <rPh sb="2" eb="3">
      <t>マン</t>
    </rPh>
    <phoneticPr fontId="2"/>
  </si>
  <si>
    <t>標準賞与額</t>
    <rPh sb="0" eb="2">
      <t>ヒョウジュン</t>
    </rPh>
    <rPh sb="2" eb="4">
      <t>ショウヨ</t>
    </rPh>
    <rPh sb="4" eb="5">
      <t>ガク</t>
    </rPh>
    <phoneticPr fontId="2"/>
  </si>
  <si>
    <t>決定年金額</t>
    <rPh sb="0" eb="2">
      <t>ケッテイ</t>
    </rPh>
    <rPh sb="2" eb="4">
      <t>ネンキン</t>
    </rPh>
    <rPh sb="4" eb="5">
      <t>ガク</t>
    </rPh>
    <phoneticPr fontId="2"/>
  </si>
  <si>
    <t>基本年額</t>
    <rPh sb="0" eb="2">
      <t>キホン</t>
    </rPh>
    <rPh sb="2" eb="4">
      <t>ネンガク</t>
    </rPh>
    <phoneticPr fontId="2"/>
  </si>
  <si>
    <t>〃</t>
    <phoneticPr fontId="2"/>
  </si>
  <si>
    <t>　</t>
    <phoneticPr fontId="2"/>
  </si>
  <si>
    <t>停止額</t>
    <rPh sb="0" eb="2">
      <t>テイシ</t>
    </rPh>
    <rPh sb="2" eb="3">
      <t>ガク</t>
    </rPh>
    <phoneticPr fontId="2"/>
  </si>
  <si>
    <t>共年</t>
    <rPh sb="0" eb="1">
      <t>キョウ</t>
    </rPh>
    <rPh sb="1" eb="2">
      <t>ネン</t>
    </rPh>
    <phoneticPr fontId="2"/>
  </si>
  <si>
    <t>－</t>
    <phoneticPr fontId="2"/>
  </si>
  <si>
    <t>厚年</t>
    <phoneticPr fontId="2"/>
  </si>
  <si>
    <t>給与</t>
    <rPh sb="0" eb="2">
      <t>キュウヨ</t>
    </rPh>
    <phoneticPr fontId="2"/>
  </si>
  <si>
    <t>0：一般</t>
    <rPh sb="2" eb="4">
      <t>イッパン</t>
    </rPh>
    <phoneticPr fontId="2"/>
  </si>
  <si>
    <t>再就職状況</t>
    <rPh sb="0" eb="3">
      <t>サイシュウショク</t>
    </rPh>
    <rPh sb="3" eb="5">
      <t>ジョウキョウ</t>
    </rPh>
    <phoneticPr fontId="2"/>
  </si>
  <si>
    <t>←以下のとおり入力</t>
    <rPh sb="1" eb="3">
      <t>イカ</t>
    </rPh>
    <rPh sb="7" eb="9">
      <t>ニュウリョク</t>
    </rPh>
    <phoneticPr fontId="2"/>
  </si>
  <si>
    <t>2：-</t>
    <phoneticPr fontId="2"/>
  </si>
  <si>
    <t>＋</t>
    <phoneticPr fontId="2"/>
  </si>
  <si>
    <t>＝</t>
    <phoneticPr fontId="2"/>
  </si>
  <si>
    <t>２８万円</t>
    <rPh sb="2" eb="4">
      <t>マンエン</t>
    </rPh>
    <phoneticPr fontId="2"/>
  </si>
  <si>
    <t>〔</t>
    <phoneticPr fontId="2"/>
  </si>
  <si>
    <t>65歳未満（入力箇所なし）</t>
    <rPh sb="2" eb="5">
      <t>サイミマン</t>
    </rPh>
    <rPh sb="6" eb="8">
      <t>ニュウリョク</t>
    </rPh>
    <rPh sb="8" eb="10">
      <t>カショ</t>
    </rPh>
    <phoneticPr fontId="2"/>
  </si>
  <si>
    <t>賃金月額</t>
    <rPh sb="0" eb="2">
      <t>チンギン</t>
    </rPh>
    <rPh sb="2" eb="4">
      <t>ゲツガク</t>
    </rPh>
    <phoneticPr fontId="2"/>
  </si>
  <si>
    <t>厚年月額</t>
    <rPh sb="0" eb="2">
      <t>コウネン</t>
    </rPh>
    <rPh sb="2" eb="4">
      <t>ゲツガク</t>
    </rPh>
    <phoneticPr fontId="2"/>
  </si>
  <si>
    <t>共年月額</t>
    <rPh sb="0" eb="1">
      <t>キョウ</t>
    </rPh>
    <rPh sb="1" eb="2">
      <t>ネン</t>
    </rPh>
    <rPh sb="2" eb="4">
      <t>ゲツガク</t>
    </rPh>
    <phoneticPr fontId="2"/>
  </si>
  <si>
    <t>賃金</t>
    <rPh sb="0" eb="2">
      <t>チンギン</t>
    </rPh>
    <phoneticPr fontId="2"/>
  </si>
  <si>
    <t>（参考）</t>
    <rPh sb="1" eb="3">
      <t>サンコウ</t>
    </rPh>
    <phoneticPr fontId="2"/>
  </si>
  <si>
    <t>２８万円〕  ×  １／２</t>
    <rPh sb="2" eb="4">
      <t>マンエン</t>
    </rPh>
    <phoneticPr fontId="2"/>
  </si>
  <si>
    <t>按分（参考）</t>
    <rPh sb="0" eb="2">
      <t>アンブン</t>
    </rPh>
    <rPh sb="3" eb="5">
      <t>サンコウ</t>
    </rPh>
    <phoneticPr fontId="2"/>
  </si>
  <si>
    <t>×</t>
    <phoneticPr fontId="2"/>
  </si>
  <si>
    <t>／</t>
    <phoneticPr fontId="2"/>
  </si>
  <si>
    <t>賃金</t>
    <rPh sb="0" eb="2">
      <t>チンギン</t>
    </rPh>
    <phoneticPr fontId="2"/>
  </si>
  <si>
    <t>老厚年</t>
    <rPh sb="0" eb="1">
      <t>ロウ</t>
    </rPh>
    <rPh sb="1" eb="3">
      <t>コウネン</t>
    </rPh>
    <phoneticPr fontId="2"/>
  </si>
  <si>
    <t>〕×１／２ ＝</t>
    <phoneticPr fontId="2"/>
  </si>
  <si>
    <t>〕×１／２＋ 〔</t>
    <phoneticPr fontId="2"/>
  </si>
  <si>
    <t>※停止額が0円以下は、「0円」</t>
    <rPh sb="1" eb="3">
      <t>テイシ</t>
    </rPh>
    <rPh sb="3" eb="4">
      <t>ガク</t>
    </rPh>
    <rPh sb="6" eb="7">
      <t>エン</t>
    </rPh>
    <rPh sb="7" eb="9">
      <t>イカ</t>
    </rPh>
    <rPh sb="13" eb="14">
      <t>エン</t>
    </rPh>
    <phoneticPr fontId="2"/>
  </si>
  <si>
    <t>職域部分（年額）</t>
    <rPh sb="0" eb="2">
      <t>ショクイキ</t>
    </rPh>
    <rPh sb="2" eb="4">
      <t>ブブン</t>
    </rPh>
    <rPh sb="5" eb="7">
      <t>ネンガク</t>
    </rPh>
    <phoneticPr fontId="2"/>
  </si>
  <si>
    <t>年金（合計）</t>
    <rPh sb="0" eb="2">
      <t>ネンキン</t>
    </rPh>
    <rPh sb="3" eb="5">
      <t>ゴウケイ</t>
    </rPh>
    <phoneticPr fontId="2"/>
  </si>
  <si>
    <t>※ この算定式は、簡略的に示している部分があるため、端数部分が合わない可能性があります。</t>
    <rPh sb="4" eb="6">
      <t>サンテイ</t>
    </rPh>
    <rPh sb="6" eb="7">
      <t>シキ</t>
    </rPh>
    <rPh sb="9" eb="12">
      <t>カンリャクテキ</t>
    </rPh>
    <rPh sb="13" eb="14">
      <t>シメ</t>
    </rPh>
    <rPh sb="18" eb="20">
      <t>ブブン</t>
    </rPh>
    <rPh sb="26" eb="28">
      <t>ハスウ</t>
    </rPh>
    <rPh sb="28" eb="30">
      <t>ブブン</t>
    </rPh>
    <rPh sb="31" eb="32">
      <t>ア</t>
    </rPh>
    <rPh sb="35" eb="38">
      <t>カノウセイ</t>
    </rPh>
    <phoneticPr fontId="2"/>
  </si>
  <si>
    <t>入力箇所（65歳未満）</t>
    <rPh sb="0" eb="2">
      <t>ニュウリョク</t>
    </rPh>
    <rPh sb="2" eb="4">
      <t>カショ</t>
    </rPh>
    <rPh sb="7" eb="10">
      <t>サイミマン</t>
    </rPh>
    <phoneticPr fontId="2"/>
  </si>
  <si>
    <t xml:space="preserve"> </t>
    <phoneticPr fontId="2"/>
  </si>
  <si>
    <t>停止額（年額）</t>
    <rPh sb="0" eb="2">
      <t>テイシ</t>
    </rPh>
    <rPh sb="2" eb="3">
      <t>ガク</t>
    </rPh>
    <rPh sb="4" eb="6">
      <t>ネンガク</t>
    </rPh>
    <phoneticPr fontId="2"/>
  </si>
  <si>
    <t>停止額（月額）</t>
    <rPh sb="0" eb="2">
      <t>テイシ</t>
    </rPh>
    <rPh sb="2" eb="3">
      <t>ガク</t>
    </rPh>
    <rPh sb="4" eb="6">
      <t>ゲツガク</t>
    </rPh>
    <phoneticPr fontId="2"/>
  </si>
  <si>
    <t>（円単位未満切捨）</t>
    <rPh sb="1" eb="2">
      <t>エン</t>
    </rPh>
    <rPh sb="2" eb="4">
      <t>タンイ</t>
    </rPh>
    <rPh sb="4" eb="6">
      <t>ミマン</t>
    </rPh>
    <rPh sb="6" eb="7">
      <t>キリ</t>
    </rPh>
    <rPh sb="7" eb="8">
      <t>シモギリ</t>
    </rPh>
    <phoneticPr fontId="2"/>
  </si>
  <si>
    <t>共済年金</t>
    <rPh sb="0" eb="2">
      <t>キョウサイ</t>
    </rPh>
    <rPh sb="2" eb="4">
      <t>ネンキン</t>
    </rPh>
    <phoneticPr fontId="2"/>
  </si>
  <si>
    <t>退職共済年金の停止額　</t>
    <rPh sb="0" eb="2">
      <t>タイショク</t>
    </rPh>
    <rPh sb="2" eb="4">
      <t>キョウサイ</t>
    </rPh>
    <rPh sb="4" eb="6">
      <t>ネンキン</t>
    </rPh>
    <rPh sb="7" eb="9">
      <t>テイシ</t>
    </rPh>
    <rPh sb="9" eb="10">
      <t>ガク</t>
    </rPh>
    <phoneticPr fontId="2"/>
  </si>
  <si>
    <t>共済年金の停止額</t>
    <rPh sb="0" eb="2">
      <t>キョウサイ</t>
    </rPh>
    <rPh sb="2" eb="4">
      <t>ネンキン</t>
    </rPh>
    <rPh sb="5" eb="7">
      <t>テイシ</t>
    </rPh>
    <rPh sb="7" eb="8">
      <t>ガク</t>
    </rPh>
    <phoneticPr fontId="2"/>
  </si>
  <si>
    <t>算定額</t>
    <rPh sb="0" eb="2">
      <t>サンテイ</t>
    </rPh>
    <rPh sb="2" eb="3">
      <t>ガク</t>
    </rPh>
    <phoneticPr fontId="2"/>
  </si>
  <si>
    <t>数値入力箇所</t>
    <rPh sb="0" eb="2">
      <t>スウチ</t>
    </rPh>
    <rPh sb="2" eb="4">
      <t>ニュウリョク</t>
    </rPh>
    <rPh sb="4" eb="6">
      <t>カショ</t>
    </rPh>
    <phoneticPr fontId="2"/>
  </si>
  <si>
    <t>65歳未満</t>
    <rPh sb="2" eb="3">
      <t>サイ</t>
    </rPh>
    <rPh sb="3" eb="5">
      <t>ミマン</t>
    </rPh>
    <phoneticPr fontId="2"/>
  </si>
  <si>
    <t>四捨五入</t>
    <rPh sb="0" eb="4">
      <t>シシャゴニュウ</t>
    </rPh>
    <phoneticPr fontId="2"/>
  </si>
  <si>
    <t>⇒</t>
    <phoneticPr fontId="2"/>
  </si>
  <si>
    <t>調整１</t>
    <rPh sb="0" eb="2">
      <t>チョウセイ</t>
    </rPh>
    <phoneticPr fontId="2"/>
  </si>
  <si>
    <t>+〔</t>
    <phoneticPr fontId="2"/>
  </si>
  <si>
    <t>＋</t>
    <phoneticPr fontId="2"/>
  </si>
  <si>
    <t>〕×１／１２</t>
    <phoneticPr fontId="2"/>
  </si>
  <si>
    <t>＝</t>
    <phoneticPr fontId="2"/>
  </si>
  <si>
    <t>　</t>
    <phoneticPr fontId="2"/>
  </si>
  <si>
    <t>＋</t>
    <phoneticPr fontId="2"/>
  </si>
  <si>
    <t>＝</t>
    <phoneticPr fontId="2"/>
  </si>
  <si>
    <t>〔</t>
    <phoneticPr fontId="2"/>
  </si>
  <si>
    <t>－</t>
    <phoneticPr fontId="2"/>
  </si>
  <si>
    <t>×</t>
    <phoneticPr fontId="2"/>
  </si>
  <si>
    <t>＝</t>
    <phoneticPr fontId="2"/>
  </si>
  <si>
    <t>（参考）老厚年の停止額</t>
    <rPh sb="1" eb="3">
      <t>サンコウ</t>
    </rPh>
    <rPh sb="4" eb="5">
      <t>ロウ</t>
    </rPh>
    <rPh sb="5" eb="7">
      <t>コウネン</t>
    </rPh>
    <rPh sb="8" eb="10">
      <t>テイシ</t>
    </rPh>
    <rPh sb="10" eb="11">
      <t>ガク</t>
    </rPh>
    <phoneticPr fontId="2"/>
  </si>
  <si>
    <t>　</t>
    <phoneticPr fontId="2"/>
  </si>
  <si>
    <t>賃金算定</t>
    <rPh sb="0" eb="2">
      <t>チンギン</t>
    </rPh>
    <rPh sb="2" eb="4">
      <t>サンテイ</t>
    </rPh>
    <phoneticPr fontId="2"/>
  </si>
  <si>
    <t>共年算定</t>
    <rPh sb="0" eb="1">
      <t>キョウ</t>
    </rPh>
    <rPh sb="1" eb="2">
      <t>ネン</t>
    </rPh>
    <rPh sb="2" eb="4">
      <t>サンテイ</t>
    </rPh>
    <phoneticPr fontId="2"/>
  </si>
  <si>
    <t>厚年算定</t>
    <rPh sb="0" eb="2">
      <t>コウネン</t>
    </rPh>
    <rPh sb="2" eb="4">
      <t>サンテイ</t>
    </rPh>
    <phoneticPr fontId="2"/>
  </si>
  <si>
    <t>停止額算定</t>
    <rPh sb="0" eb="2">
      <t>テイシ</t>
    </rPh>
    <rPh sb="2" eb="3">
      <t>ガク</t>
    </rPh>
    <rPh sb="3" eb="5">
      <t>サンテイ</t>
    </rPh>
    <phoneticPr fontId="2"/>
  </si>
  <si>
    <t>按分算定</t>
    <rPh sb="0" eb="2">
      <t>アンブン</t>
    </rPh>
    <rPh sb="2" eb="4">
      <t>サンテイ</t>
    </rPh>
    <phoneticPr fontId="2"/>
  </si>
  <si>
    <t>年額算定</t>
    <rPh sb="0" eb="2">
      <t>ネンガク</t>
    </rPh>
    <rPh sb="2" eb="4">
      <t>サンテイ</t>
    </rPh>
    <phoneticPr fontId="2"/>
  </si>
  <si>
    <t>　</t>
    <phoneticPr fontId="2"/>
  </si>
  <si>
    <t>　</t>
    <phoneticPr fontId="30"/>
  </si>
  <si>
    <t>　</t>
    <phoneticPr fontId="2"/>
  </si>
  <si>
    <t>支給額（職域含む）</t>
    <rPh sb="0" eb="3">
      <t>シキュウガク</t>
    </rPh>
    <rPh sb="4" eb="6">
      <t>ショクイキ</t>
    </rPh>
    <rPh sb="6" eb="7">
      <t>フク</t>
    </rPh>
    <phoneticPr fontId="2"/>
  </si>
  <si>
    <t>標準賞与額</t>
    <rPh sb="4" eb="5">
      <t>ガク</t>
    </rPh>
    <phoneticPr fontId="2"/>
  </si>
  <si>
    <t>決定年金額</t>
    <rPh sb="0" eb="2">
      <t>ケッテイ</t>
    </rPh>
    <rPh sb="2" eb="5">
      <t>ネンキンガク</t>
    </rPh>
    <phoneticPr fontId="2"/>
  </si>
  <si>
    <t>職域年金部分</t>
    <rPh sb="0" eb="2">
      <t>ショクイキ</t>
    </rPh>
    <rPh sb="2" eb="4">
      <t>ネンキン</t>
    </rPh>
    <rPh sb="4" eb="6">
      <t>ブブン</t>
    </rPh>
    <phoneticPr fontId="2"/>
  </si>
  <si>
    <t>①</t>
    <phoneticPr fontId="2"/>
  </si>
  <si>
    <t>②</t>
    <phoneticPr fontId="2"/>
  </si>
  <si>
    <t>③ (①+②/12)</t>
    <phoneticPr fontId="2"/>
  </si>
  <si>
    <t>④</t>
    <phoneticPr fontId="2"/>
  </si>
  <si>
    <t>⑤</t>
    <phoneticPr fontId="2"/>
  </si>
  <si>
    <t>⑥ (④-⑤/12)</t>
    <phoneticPr fontId="2"/>
  </si>
  <si>
    <t>⑩特老厚支給停止額</t>
    <phoneticPr fontId="2"/>
  </si>
  <si>
    <t>⑧</t>
    <phoneticPr fontId="2"/>
  </si>
  <si>
    <t>⑨ (⑧/12)</t>
    <phoneticPr fontId="2"/>
  </si>
  <si>
    <t>⑩</t>
    <phoneticPr fontId="2"/>
  </si>
  <si>
    <t>④-⑤</t>
    <phoneticPr fontId="2"/>
  </si>
  <si>
    <t>⑪ ((④-⑤+⑧)/12)</t>
    <phoneticPr fontId="2"/>
  </si>
  <si>
    <t>⑫</t>
    <phoneticPr fontId="2"/>
  </si>
  <si>
    <t>⑬ ⑫*⑥/(⑥+⑨)</t>
    <phoneticPr fontId="2"/>
  </si>
  <si>
    <t>⑭ ⑫*⑨/(⑥+⑨)</t>
    <phoneticPr fontId="2"/>
  </si>
  <si>
    <t>　　（③＋⑪－⑦－⑩）/10＋⑦＋⑩＝</t>
    <phoneticPr fontId="2"/>
  </si>
  <si>
    <t>⑮</t>
    <phoneticPr fontId="2"/>
  </si>
  <si>
    <t>⑯ ⑮*⑥/(⑥+⑨)</t>
    <phoneticPr fontId="2"/>
  </si>
  <si>
    <t>⑰ ⑮*⑨/(⑥+⑨)</t>
    <phoneticPr fontId="2"/>
  </si>
  <si>
    <t>⑱</t>
    <phoneticPr fontId="2"/>
  </si>
  <si>
    <t>⑲ ⑱*⑥/(⑥+⑨)</t>
    <phoneticPr fontId="2"/>
  </si>
  <si>
    <t>⑳ ⑱*⑨/(⑥+⑨)</t>
    <phoneticPr fontId="2"/>
  </si>
  <si>
    <t>B ④-A</t>
    <phoneticPr fontId="2"/>
  </si>
  <si>
    <t>C min(⑭,⑰,⑳)*12</t>
    <phoneticPr fontId="2"/>
  </si>
  <si>
    <t>D ⑧-C</t>
    <phoneticPr fontId="2"/>
  </si>
  <si>
    <t>　</t>
    <phoneticPr fontId="2"/>
  </si>
  <si>
    <t>　</t>
    <phoneticPr fontId="2"/>
  </si>
  <si>
    <t>支給額（職域なし）</t>
    <rPh sb="0" eb="3">
      <t>シキュウガク</t>
    </rPh>
    <rPh sb="4" eb="6">
      <t>ショクイキ</t>
    </rPh>
    <phoneticPr fontId="2"/>
  </si>
  <si>
    <t>　</t>
    <phoneticPr fontId="2"/>
  </si>
  <si>
    <t>（基本月額）</t>
    <rPh sb="1" eb="3">
      <t>キホン</t>
    </rPh>
    <rPh sb="3" eb="4">
      <t>ツキ</t>
    </rPh>
    <phoneticPr fontId="2"/>
  </si>
  <si>
    <t>（月額）</t>
    <rPh sb="1" eb="2">
      <t>ツキ</t>
    </rPh>
    <phoneticPr fontId="2"/>
  </si>
  <si>
    <t>（年額）</t>
    <rPh sb="1" eb="3">
      <t>ネンガク</t>
    </rPh>
    <phoneticPr fontId="2"/>
  </si>
  <si>
    <t>◎参考</t>
    <rPh sb="1" eb="3">
      <t>サンコウ</t>
    </rPh>
    <phoneticPr fontId="2"/>
  </si>
  <si>
    <t>支給額　</t>
    <rPh sb="0" eb="3">
      <t>シキュウガク</t>
    </rPh>
    <phoneticPr fontId="2"/>
  </si>
  <si>
    <t>※ ボーナスは、１回、150万円が上限</t>
    <rPh sb="9" eb="10">
      <t>カイ</t>
    </rPh>
    <rPh sb="14" eb="16">
      <t>マンエン</t>
    </rPh>
    <rPh sb="17" eb="19">
      <t>ジョウゲン</t>
    </rPh>
    <phoneticPr fontId="2"/>
  </si>
  <si>
    <t>停止額（合計）</t>
    <rPh sb="0" eb="2">
      <t>テイシ</t>
    </rPh>
    <rPh sb="2" eb="3">
      <t>ガク</t>
    </rPh>
    <rPh sb="4" eb="6">
      <t>ゴウケイ</t>
    </rPh>
    <phoneticPr fontId="2"/>
  </si>
  <si>
    <t>－</t>
    <phoneticPr fontId="2"/>
  </si>
  <si>
    <t>厚年１号（月額）</t>
    <rPh sb="0" eb="2">
      <t>コウネン</t>
    </rPh>
    <rPh sb="3" eb="4">
      <t>ゴウ</t>
    </rPh>
    <rPh sb="5" eb="7">
      <t>ゲツガク</t>
    </rPh>
    <phoneticPr fontId="2"/>
  </si>
  <si>
    <t>×  １／１２  ＝</t>
    <phoneticPr fontId="2"/>
  </si>
  <si>
    <t>支給額（年額）</t>
    <rPh sb="0" eb="3">
      <t>シキュウガク</t>
    </rPh>
    <rPh sb="4" eb="6">
      <t>ネンガク</t>
    </rPh>
    <phoneticPr fontId="2"/>
  </si>
  <si>
    <t>停止額（月額）</t>
    <rPh sb="0" eb="2">
      <t>テイシ</t>
    </rPh>
    <rPh sb="2" eb="3">
      <t>ガク</t>
    </rPh>
    <rPh sb="4" eb="5">
      <t>ゲツ</t>
    </rPh>
    <rPh sb="5" eb="6">
      <t>ガク</t>
    </rPh>
    <phoneticPr fontId="2"/>
  </si>
  <si>
    <t>報酬比例部分（年額）</t>
    <rPh sb="0" eb="2">
      <t>ホウシュウ</t>
    </rPh>
    <rPh sb="2" eb="4">
      <t>ヒレイ</t>
    </rPh>
    <rPh sb="4" eb="6">
      <t>ブブン</t>
    </rPh>
    <rPh sb="7" eb="9">
      <t>ネンガク</t>
    </rPh>
    <phoneticPr fontId="2"/>
  </si>
  <si>
    <t>＋</t>
    <phoneticPr fontId="2"/>
  </si>
  <si>
    <t>切捨て</t>
    <rPh sb="0" eb="2">
      <t>キリス</t>
    </rPh>
    <phoneticPr fontId="2"/>
  </si>
  <si>
    <t>合計額</t>
    <rPh sb="0" eb="2">
      <t>ゴウケイ</t>
    </rPh>
    <rPh sb="2" eb="3">
      <t>ガク</t>
    </rPh>
    <phoneticPr fontId="2"/>
  </si>
  <si>
    <t>経過的職域を含めた支給額</t>
    <rPh sb="0" eb="2">
      <t>ケイカ</t>
    </rPh>
    <rPh sb="2" eb="3">
      <t>テキ</t>
    </rPh>
    <rPh sb="3" eb="5">
      <t>ショクイキ</t>
    </rPh>
    <rPh sb="6" eb="7">
      <t>フク</t>
    </rPh>
    <rPh sb="9" eb="11">
      <t>シキュウ</t>
    </rPh>
    <rPh sb="11" eb="12">
      <t>ガク</t>
    </rPh>
    <phoneticPr fontId="2"/>
  </si>
  <si>
    <t>経過的職域</t>
    <rPh sb="0" eb="3">
      <t>ケイカテキ</t>
    </rPh>
    <rPh sb="3" eb="5">
      <t>ショクイキ</t>
    </rPh>
    <phoneticPr fontId="2"/>
  </si>
  <si>
    <t>注）四捨五入ｏｒ切捨？</t>
    <rPh sb="0" eb="1">
      <t>チュウ</t>
    </rPh>
    <rPh sb="2" eb="6">
      <t>シシャゴニュウ</t>
    </rPh>
    <rPh sb="8" eb="10">
      <t>キリス</t>
    </rPh>
    <phoneticPr fontId="2"/>
  </si>
  <si>
    <t>按分算定（特別版）</t>
    <rPh sb="0" eb="2">
      <t>アンブン</t>
    </rPh>
    <rPh sb="2" eb="4">
      <t>サンテイ</t>
    </rPh>
    <rPh sb="5" eb="7">
      <t>トクベツ</t>
    </rPh>
    <rPh sb="7" eb="8">
      <t>バン</t>
    </rPh>
    <phoneticPr fontId="2"/>
  </si>
  <si>
    <t>４．停止額、支給額の年額</t>
    <rPh sb="2" eb="4">
      <t>テイシ</t>
    </rPh>
    <rPh sb="4" eb="5">
      <t>ガク</t>
    </rPh>
    <rPh sb="6" eb="9">
      <t>シキュウガク</t>
    </rPh>
    <rPh sb="10" eb="12">
      <t>ネンガク</t>
    </rPh>
    <phoneticPr fontId="2"/>
  </si>
  <si>
    <t>　</t>
    <phoneticPr fontId="2"/>
  </si>
  <si>
    <t>１．賃金額、年金額の月額</t>
    <rPh sb="2" eb="5">
      <t>チンギンガク</t>
    </rPh>
    <rPh sb="6" eb="9">
      <t>ネンキンガク</t>
    </rPh>
    <rPh sb="10" eb="12">
      <t>ゲツガク</t>
    </rPh>
    <phoneticPr fontId="2"/>
  </si>
  <si>
    <t>２．停止額の算定（月額）</t>
    <rPh sb="2" eb="4">
      <t>テイシ</t>
    </rPh>
    <rPh sb="4" eb="5">
      <t>ガク</t>
    </rPh>
    <rPh sb="6" eb="8">
      <t>サンテイ</t>
    </rPh>
    <rPh sb="9" eb="11">
      <t>ゲツガク</t>
    </rPh>
    <phoneticPr fontId="2"/>
  </si>
  <si>
    <t>月額合計額</t>
    <rPh sb="0" eb="2">
      <t>ゲツガク</t>
    </rPh>
    <rPh sb="2" eb="4">
      <t>ゴウケイ</t>
    </rPh>
    <rPh sb="4" eb="5">
      <t>ガク</t>
    </rPh>
    <phoneticPr fontId="2"/>
  </si>
  <si>
    <t>1：現職組合員</t>
    <rPh sb="2" eb="4">
      <t>ゲンショク</t>
    </rPh>
    <rPh sb="4" eb="6">
      <t>クミアイ</t>
    </rPh>
    <rPh sb="6" eb="7">
      <t>イン</t>
    </rPh>
    <phoneticPr fontId="2"/>
  </si>
  <si>
    <t>私学</t>
    <rPh sb="0" eb="2">
      <t>シガク</t>
    </rPh>
    <phoneticPr fontId="2"/>
  </si>
  <si>
    <t>私学月額</t>
    <rPh sb="0" eb="2">
      <t>シガク</t>
    </rPh>
    <rPh sb="2" eb="4">
      <t>ゲツガク</t>
    </rPh>
    <phoneticPr fontId="2"/>
  </si>
  <si>
    <t xml:space="preserve"> </t>
    <phoneticPr fontId="2"/>
  </si>
  <si>
    <t xml:space="preserve"> </t>
    <phoneticPr fontId="2"/>
  </si>
  <si>
    <t>1/12</t>
    <phoneticPr fontId="2"/>
  </si>
  <si>
    <t>割合</t>
    <rPh sb="0" eb="2">
      <t>ワリアイ</t>
    </rPh>
    <phoneticPr fontId="2"/>
  </si>
  <si>
    <t>私学算定</t>
    <rPh sb="0" eb="2">
      <t>シガク</t>
    </rPh>
    <rPh sb="2" eb="4">
      <t>サンテイ</t>
    </rPh>
    <phoneticPr fontId="2"/>
  </si>
  <si>
    <t>調整2</t>
    <rPh sb="0" eb="2">
      <t>チョウセイ</t>
    </rPh>
    <phoneticPr fontId="2"/>
  </si>
  <si>
    <t>〔</t>
    <phoneticPr fontId="2"/>
  </si>
  <si>
    <t>＋  ４７万円　－　２８万円 〕  ×  １／２　＋ 〔</t>
    <rPh sb="6" eb="8">
      <t>マンエン</t>
    </rPh>
    <rPh sb="13" eb="15">
      <t>マンエン</t>
    </rPh>
    <phoneticPr fontId="2"/>
  </si>
  <si>
    <t>－  ４７万円 〕  ＝</t>
    <rPh sb="6" eb="7">
      <t>エン</t>
    </rPh>
    <phoneticPr fontId="2"/>
  </si>
  <si>
    <t>（特老厚）</t>
    <rPh sb="1" eb="3">
      <t>トクロウ</t>
    </rPh>
    <rPh sb="3" eb="4">
      <t>アツシ</t>
    </rPh>
    <phoneticPr fontId="2"/>
  </si>
  <si>
    <t>年金種別</t>
    <rPh sb="0" eb="2">
      <t>ネンキン</t>
    </rPh>
    <rPh sb="2" eb="4">
      <t>シュベツ</t>
    </rPh>
    <phoneticPr fontId="2"/>
  </si>
  <si>
    <t>事由</t>
    <rPh sb="0" eb="2">
      <t>ジユウ</t>
    </rPh>
    <phoneticPr fontId="2"/>
  </si>
  <si>
    <t>賃金（総報酬月額相当額）</t>
    <rPh sb="0" eb="2">
      <t>チンギン</t>
    </rPh>
    <rPh sb="3" eb="4">
      <t>ソウ</t>
    </rPh>
    <rPh sb="4" eb="6">
      <t>ホウシュウ</t>
    </rPh>
    <rPh sb="6" eb="8">
      <t>ゲツガク</t>
    </rPh>
    <rPh sb="8" eb="10">
      <t>ソウトウ</t>
    </rPh>
    <rPh sb="10" eb="11">
      <t>ガク</t>
    </rPh>
    <phoneticPr fontId="2"/>
  </si>
  <si>
    <t>（年金額の全額停止）</t>
    <rPh sb="1" eb="4">
      <t>ネンキンガク</t>
    </rPh>
    <rPh sb="5" eb="7">
      <t>ゼンガク</t>
    </rPh>
    <rPh sb="7" eb="9">
      <t>テイシ</t>
    </rPh>
    <phoneticPr fontId="2"/>
  </si>
  <si>
    <t>× 　　　１２　　　 　＝</t>
    <phoneticPr fontId="2"/>
  </si>
  <si>
    <t>第１号老厚年</t>
    <rPh sb="0" eb="1">
      <t>ダイ</t>
    </rPh>
    <rPh sb="2" eb="3">
      <t>ゴウ</t>
    </rPh>
    <rPh sb="3" eb="4">
      <t>ロウ</t>
    </rPh>
    <rPh sb="4" eb="6">
      <t>コウネン</t>
    </rPh>
    <phoneticPr fontId="2"/>
  </si>
  <si>
    <t>第３号老厚年</t>
    <rPh sb="0" eb="1">
      <t>ダイ</t>
    </rPh>
    <rPh sb="2" eb="3">
      <t>ゴウ</t>
    </rPh>
    <rPh sb="3" eb="4">
      <t>ロウ</t>
    </rPh>
    <rPh sb="4" eb="6">
      <t>コウネン</t>
    </rPh>
    <phoneticPr fontId="2"/>
  </si>
  <si>
    <t>第４号老厚年</t>
    <rPh sb="0" eb="1">
      <t>ダイ</t>
    </rPh>
    <rPh sb="2" eb="3">
      <t>ゴウ</t>
    </rPh>
    <rPh sb="3" eb="4">
      <t>ロウ</t>
    </rPh>
    <rPh sb="4" eb="6">
      <t>コウネン</t>
    </rPh>
    <phoneticPr fontId="2"/>
  </si>
  <si>
    <t>第１号老厚年・第３号老厚年・第４号老厚年とは、以下の年金支給です。
「第１号老厚年」…日本年金機構、「第３号老厚年」…当組合、「第４号老厚年」…日本私立学校共済振興・共済事業団</t>
    <rPh sb="0" eb="1">
      <t>ダイ</t>
    </rPh>
    <rPh sb="2" eb="3">
      <t>ゴウ</t>
    </rPh>
    <rPh sb="3" eb="4">
      <t>ロウ</t>
    </rPh>
    <rPh sb="4" eb="6">
      <t>コウネン</t>
    </rPh>
    <rPh sb="7" eb="8">
      <t>ダイ</t>
    </rPh>
    <rPh sb="9" eb="10">
      <t>ゴウ</t>
    </rPh>
    <rPh sb="10" eb="11">
      <t>ロウ</t>
    </rPh>
    <rPh sb="11" eb="13">
      <t>コウネン</t>
    </rPh>
    <rPh sb="14" eb="15">
      <t>ダイ</t>
    </rPh>
    <rPh sb="16" eb="17">
      <t>ゴウ</t>
    </rPh>
    <rPh sb="17" eb="18">
      <t>ロウ</t>
    </rPh>
    <rPh sb="18" eb="20">
      <t>コウネン</t>
    </rPh>
    <rPh sb="23" eb="25">
      <t>イカ</t>
    </rPh>
    <rPh sb="26" eb="28">
      <t>ネンキン</t>
    </rPh>
    <rPh sb="28" eb="30">
      <t>シキュウ</t>
    </rPh>
    <rPh sb="35" eb="36">
      <t>ダイ</t>
    </rPh>
    <rPh sb="37" eb="38">
      <t>ゴウ</t>
    </rPh>
    <rPh sb="38" eb="39">
      <t>ロウ</t>
    </rPh>
    <rPh sb="39" eb="41">
      <t>コウネン</t>
    </rPh>
    <rPh sb="43" eb="45">
      <t>ニホン</t>
    </rPh>
    <rPh sb="45" eb="47">
      <t>ネンキン</t>
    </rPh>
    <rPh sb="47" eb="49">
      <t>キコウ</t>
    </rPh>
    <rPh sb="51" eb="52">
      <t>ダイ</t>
    </rPh>
    <rPh sb="53" eb="54">
      <t>ゴウ</t>
    </rPh>
    <rPh sb="54" eb="55">
      <t>ロウ</t>
    </rPh>
    <rPh sb="55" eb="57">
      <t>コウネン</t>
    </rPh>
    <rPh sb="59" eb="60">
      <t>トウ</t>
    </rPh>
    <rPh sb="60" eb="62">
      <t>クミアイ</t>
    </rPh>
    <rPh sb="64" eb="65">
      <t>ダイ</t>
    </rPh>
    <rPh sb="66" eb="67">
      <t>ゴウ</t>
    </rPh>
    <rPh sb="67" eb="68">
      <t>ロウ</t>
    </rPh>
    <rPh sb="68" eb="70">
      <t>コウネン</t>
    </rPh>
    <rPh sb="72" eb="74">
      <t>ニホン</t>
    </rPh>
    <rPh sb="74" eb="76">
      <t>シリツ</t>
    </rPh>
    <rPh sb="76" eb="78">
      <t>ガッコウ</t>
    </rPh>
    <rPh sb="78" eb="80">
      <t>キョウサイ</t>
    </rPh>
    <rPh sb="80" eb="82">
      <t>シンコウ</t>
    </rPh>
    <rPh sb="83" eb="85">
      <t>キョウサイ</t>
    </rPh>
    <rPh sb="85" eb="88">
      <t>ジギョウダン</t>
    </rPh>
    <phoneticPr fontId="2"/>
  </si>
  <si>
    <t>第３号老厚年の停止額</t>
    <rPh sb="0" eb="1">
      <t>ダイ</t>
    </rPh>
    <rPh sb="2" eb="3">
      <t>ゴウ</t>
    </rPh>
    <rPh sb="3" eb="4">
      <t>ロウ</t>
    </rPh>
    <rPh sb="4" eb="6">
      <t>コウネン</t>
    </rPh>
    <rPh sb="7" eb="9">
      <t>テイシ</t>
    </rPh>
    <rPh sb="9" eb="10">
      <t>ガク</t>
    </rPh>
    <phoneticPr fontId="2"/>
  </si>
  <si>
    <t>第３号老厚年の支給額</t>
    <rPh sb="0" eb="1">
      <t>ダイ</t>
    </rPh>
    <rPh sb="2" eb="3">
      <t>ゴウ</t>
    </rPh>
    <rPh sb="3" eb="4">
      <t>ロウ</t>
    </rPh>
    <rPh sb="4" eb="6">
      <t>コウネン</t>
    </rPh>
    <rPh sb="7" eb="10">
      <t>シキュウガク</t>
    </rPh>
    <phoneticPr fontId="2"/>
  </si>
  <si>
    <t>証番</t>
    <rPh sb="0" eb="1">
      <t>アカシ</t>
    </rPh>
    <rPh sb="1" eb="2">
      <t>バン</t>
    </rPh>
    <phoneticPr fontId="2"/>
  </si>
  <si>
    <t>１号厚年（月額）</t>
    <rPh sb="1" eb="2">
      <t>ゴウ</t>
    </rPh>
    <rPh sb="2" eb="4">
      <t>コウネン</t>
    </rPh>
    <rPh sb="5" eb="7">
      <t>ゲツガク</t>
    </rPh>
    <phoneticPr fontId="2"/>
  </si>
  <si>
    <t>３号厚年（月額）</t>
    <rPh sb="1" eb="2">
      <t>ゴウ</t>
    </rPh>
    <rPh sb="2" eb="4">
      <t>コウネン</t>
    </rPh>
    <rPh sb="5" eb="7">
      <t>ゲツガク</t>
    </rPh>
    <phoneticPr fontId="2"/>
  </si>
  <si>
    <t>４号厚年（月額）</t>
    <rPh sb="1" eb="2">
      <t>ゴウ</t>
    </rPh>
    <rPh sb="2" eb="4">
      <t>コウネン</t>
    </rPh>
    <rPh sb="5" eb="7">
      <t>ゲツガク</t>
    </rPh>
    <phoneticPr fontId="2"/>
  </si>
  <si>
    <t>３号厚年支給額</t>
    <rPh sb="1" eb="2">
      <t>ゴウ</t>
    </rPh>
    <rPh sb="2" eb="4">
      <t>コウネン</t>
    </rPh>
    <rPh sb="4" eb="7">
      <t>シキュウガク</t>
    </rPh>
    <phoneticPr fontId="2"/>
  </si>
  <si>
    <t>３．停止額の按分算定（第３号老厚年部分）</t>
    <rPh sb="2" eb="4">
      <t>テイシ</t>
    </rPh>
    <rPh sb="4" eb="5">
      <t>ガク</t>
    </rPh>
    <rPh sb="6" eb="8">
      <t>アンブン</t>
    </rPh>
    <rPh sb="8" eb="10">
      <t>サンテイ</t>
    </rPh>
    <rPh sb="11" eb="12">
      <t>ダイ</t>
    </rPh>
    <rPh sb="13" eb="14">
      <t>ゴウ</t>
    </rPh>
    <rPh sb="14" eb="15">
      <t>ロウ</t>
    </rPh>
    <rPh sb="15" eb="17">
      <t>コウネン</t>
    </rPh>
    <rPh sb="17" eb="19">
      <t>ブブン</t>
    </rPh>
    <phoneticPr fontId="2"/>
  </si>
  <si>
    <t>３３６万円〕  ×  １／２</t>
    <rPh sb="3" eb="5">
      <t>マンエン</t>
    </rPh>
    <phoneticPr fontId="2"/>
  </si>
  <si>
    <t>在職支給停止の停止額の計算書（第３号特老厚）</t>
    <rPh sb="0" eb="2">
      <t>ザイショク</t>
    </rPh>
    <rPh sb="2" eb="4">
      <t>シキュウ</t>
    </rPh>
    <rPh sb="4" eb="6">
      <t>テイシ</t>
    </rPh>
    <rPh sb="7" eb="9">
      <t>テイシ</t>
    </rPh>
    <rPh sb="9" eb="10">
      <t>ガク</t>
    </rPh>
    <rPh sb="11" eb="14">
      <t>ケイサンショ</t>
    </rPh>
    <rPh sb="15" eb="16">
      <t>ダイ</t>
    </rPh>
    <rPh sb="17" eb="18">
      <t>ゴウ</t>
    </rPh>
    <rPh sb="18" eb="20">
      <t>トクロウ</t>
    </rPh>
    <rPh sb="20" eb="21">
      <t>アツシ</t>
    </rPh>
    <phoneticPr fontId="2"/>
  </si>
  <si>
    <t>－  ５６４万円 〕  ＝</t>
    <rPh sb="7" eb="8">
      <t>エン</t>
    </rPh>
    <phoneticPr fontId="2"/>
  </si>
  <si>
    <t>収入計</t>
    <rPh sb="0" eb="2">
      <t>シュウニュウ</t>
    </rPh>
    <rPh sb="2" eb="3">
      <t>ケイ</t>
    </rPh>
    <phoneticPr fontId="2"/>
  </si>
  <si>
    <t>　</t>
    <phoneticPr fontId="2"/>
  </si>
  <si>
    <t>28超</t>
    <rPh sb="2" eb="3">
      <t>チョウ</t>
    </rPh>
    <phoneticPr fontId="2"/>
  </si>
  <si>
    <t>↑入力は、必ずしも要しない（117）</t>
    <rPh sb="1" eb="3">
      <t>ニュウリョク</t>
    </rPh>
    <rPh sb="5" eb="6">
      <t>カナラ</t>
    </rPh>
    <rPh sb="9" eb="10">
      <t>ヨウ</t>
    </rPh>
    <phoneticPr fontId="2"/>
  </si>
  <si>
    <t>大  堀シート</t>
    <rPh sb="0" eb="1">
      <t>ダイ</t>
    </rPh>
    <rPh sb="3" eb="4">
      <t>ホリ</t>
    </rPh>
    <phoneticPr fontId="2"/>
  </si>
  <si>
    <t>＋  ４６万円　－　２８万円 〕  ×  １／２　＋ 〔</t>
    <rPh sb="6" eb="8">
      <t>マンエン</t>
    </rPh>
    <rPh sb="13" eb="15">
      <t>マンエン</t>
    </rPh>
    <phoneticPr fontId="2"/>
  </si>
  <si>
    <t>＋  ４８万円　－　２８万円 〕  ×  １／２　＋ 〔</t>
    <rPh sb="6" eb="8">
      <t>マンエン</t>
    </rPh>
    <rPh sb="13" eb="15">
      <t>マンエン</t>
    </rPh>
    <phoneticPr fontId="2"/>
  </si>
  <si>
    <t>＋  ４９万円　－　２８万円 〕  ×  １／２　＋ 〔</t>
    <rPh sb="6" eb="8">
      <t>マンエン</t>
    </rPh>
    <rPh sb="13" eb="15">
      <t>マンエン</t>
    </rPh>
    <phoneticPr fontId="2"/>
  </si>
  <si>
    <t>＋  ５０万円　－　２８万円 〕  ×  １／２　＋ 〔</t>
    <rPh sb="6" eb="8">
      <t>マンエン</t>
    </rPh>
    <rPh sb="13" eb="15">
      <t>マンエン</t>
    </rPh>
    <phoneticPr fontId="2"/>
  </si>
  <si>
    <t>注）賃金のみで46万円超は別シート</t>
  </si>
  <si>
    <t>注）賃金のみで47万円超は別シート</t>
  </si>
  <si>
    <t>注）賃金のみで48万円超は別シート</t>
  </si>
  <si>
    <t>注）賃金のみで49万円超は別シート</t>
  </si>
  <si>
    <t>注）賃金のみで50万円超は別シート</t>
  </si>
  <si>
    <t>注）賃金のみで45万円超は別シート</t>
  </si>
  <si>
    <t>選択</t>
    <rPh sb="0" eb="2">
      <t>センタク</t>
    </rPh>
    <phoneticPr fontId="2"/>
  </si>
  <si>
    <t>－  ４５万円 〕  ＝</t>
    <rPh sb="6" eb="7">
      <t>エン</t>
    </rPh>
    <phoneticPr fontId="2"/>
  </si>
  <si>
    <t>－  ４６万円 〕  ＝</t>
    <rPh sb="6" eb="7">
      <t>エン</t>
    </rPh>
    <phoneticPr fontId="2"/>
  </si>
  <si>
    <t>－  ４８万円 〕  ＝</t>
    <rPh sb="6" eb="7">
      <t>エン</t>
    </rPh>
    <phoneticPr fontId="2"/>
  </si>
  <si>
    <t>－  ４９万円 〕  ＝</t>
    <rPh sb="6" eb="7">
      <t>エン</t>
    </rPh>
    <phoneticPr fontId="2"/>
  </si>
  <si>
    <t>－  ５０万円 〕  ＝</t>
    <rPh sb="6" eb="7">
      <t>エン</t>
    </rPh>
    <phoneticPr fontId="2"/>
  </si>
  <si>
    <t>　</t>
    <phoneticPr fontId="2"/>
  </si>
  <si>
    <t>支給停止調整開始額</t>
    <rPh sb="0" eb="2">
      <t>シキュウ</t>
    </rPh>
    <rPh sb="2" eb="4">
      <t>テイシ</t>
    </rPh>
    <rPh sb="4" eb="6">
      <t>チョウセイ</t>
    </rPh>
    <rPh sb="6" eb="8">
      <t>カイシ</t>
    </rPh>
    <rPh sb="8" eb="9">
      <t>ガク</t>
    </rPh>
    <phoneticPr fontId="2"/>
  </si>
  <si>
    <t>支給停止調整額</t>
    <rPh sb="0" eb="2">
      <t>シキュウ</t>
    </rPh>
    <rPh sb="2" eb="4">
      <t>テイシ</t>
    </rPh>
    <phoneticPr fontId="2"/>
  </si>
  <si>
    <t>－  ５４０万円 〕  ＝</t>
    <rPh sb="7" eb="8">
      <t>エン</t>
    </rPh>
    <phoneticPr fontId="2"/>
  </si>
  <si>
    <t>－  ５５２万円 〕  ＝</t>
    <rPh sb="7" eb="8">
      <t>エン</t>
    </rPh>
    <phoneticPr fontId="2"/>
  </si>
  <si>
    <t>－  ５７６万円 〕  ＝</t>
    <rPh sb="7" eb="8">
      <t>エン</t>
    </rPh>
    <phoneticPr fontId="2"/>
  </si>
  <si>
    <t>－  ５８８万円 〕  ＝</t>
    <rPh sb="7" eb="8">
      <t>エン</t>
    </rPh>
    <phoneticPr fontId="2"/>
  </si>
  <si>
    <t>－  ６００万円 〕  ＝</t>
    <rPh sb="7" eb="8">
      <t>エン</t>
    </rPh>
    <phoneticPr fontId="2"/>
  </si>
  <si>
    <t>２６万円〕  ×  １／２</t>
    <rPh sb="2" eb="4">
      <t>マンエン</t>
    </rPh>
    <phoneticPr fontId="2"/>
  </si>
  <si>
    <t>２７万円〕  ×  １／２</t>
    <rPh sb="2" eb="4">
      <t>マンエン</t>
    </rPh>
    <phoneticPr fontId="2"/>
  </si>
  <si>
    <t>２９万円〕  ×  １／２</t>
    <rPh sb="2" eb="4">
      <t>マンエン</t>
    </rPh>
    <phoneticPr fontId="2"/>
  </si>
  <si>
    <t>３０万円〕  ×  １／２</t>
    <rPh sb="2" eb="4">
      <t>マンエン</t>
    </rPh>
    <phoneticPr fontId="2"/>
  </si>
  <si>
    <t>３１万円〕  ×  １／２</t>
    <rPh sb="2" eb="4">
      <t>マンエン</t>
    </rPh>
    <phoneticPr fontId="2"/>
  </si>
  <si>
    <t>＋  ４５万円</t>
    <rPh sb="6" eb="7">
      <t>エン</t>
    </rPh>
    <phoneticPr fontId="2"/>
  </si>
  <si>
    <t>－　２８万円 〕  ×  １／２　＋ 〔</t>
    <rPh sb="5" eb="7">
      <t>マンエン</t>
    </rPh>
    <phoneticPr fontId="2"/>
  </si>
  <si>
    <t>－　２６万円 〕  ×  １／２　＋ 〔</t>
    <rPh sb="5" eb="7">
      <t>マンエン</t>
    </rPh>
    <phoneticPr fontId="2"/>
  </si>
  <si>
    <t>－　２７万円 〕  ×  １／２　＋ 〔</t>
    <rPh sb="5" eb="7">
      <t>マンエン</t>
    </rPh>
    <phoneticPr fontId="2"/>
  </si>
  <si>
    <t>－　２９万円 〕  ×  １／２　＋ 〔</t>
    <rPh sb="5" eb="7">
      <t>マンエン</t>
    </rPh>
    <phoneticPr fontId="2"/>
  </si>
  <si>
    <t>－　３０万円 〕  ×  １／２　＋ 〔</t>
    <rPh sb="5" eb="7">
      <t>マンエン</t>
    </rPh>
    <phoneticPr fontId="2"/>
  </si>
  <si>
    <t>－　３１万円 〕  ×  １／２　＋ 〔</t>
    <rPh sb="5" eb="7">
      <t>マンエン</t>
    </rPh>
    <phoneticPr fontId="2"/>
  </si>
  <si>
    <t>３１２万円〕  ×  １／２</t>
    <rPh sb="3" eb="5">
      <t>マンエン</t>
    </rPh>
    <phoneticPr fontId="2"/>
  </si>
  <si>
    <t>３２４万円〕  ×  １／２</t>
    <rPh sb="3" eb="5">
      <t>マンエン</t>
    </rPh>
    <phoneticPr fontId="2"/>
  </si>
  <si>
    <t>３４８万円〕  ×  １／２</t>
    <rPh sb="3" eb="5">
      <t>マンエン</t>
    </rPh>
    <phoneticPr fontId="2"/>
  </si>
  <si>
    <t>３６０万円〕  ×  １／２</t>
    <rPh sb="3" eb="5">
      <t>マンエン</t>
    </rPh>
    <phoneticPr fontId="2"/>
  </si>
  <si>
    <t>３７２万円〕  ×  １／２</t>
    <rPh sb="3" eb="5">
      <t>マンエン</t>
    </rPh>
    <phoneticPr fontId="2"/>
  </si>
  <si>
    <t>＋  ５４０万円</t>
    <rPh sb="7" eb="8">
      <t>エン</t>
    </rPh>
    <phoneticPr fontId="2"/>
  </si>
  <si>
    <t>＋  ５５２万円</t>
    <rPh sb="7" eb="8">
      <t>エン</t>
    </rPh>
    <phoneticPr fontId="2"/>
  </si>
  <si>
    <t>＋  ５６４万円</t>
    <rPh sb="7" eb="8">
      <t>エン</t>
    </rPh>
    <phoneticPr fontId="2"/>
  </si>
  <si>
    <t>＋  ５７６万円</t>
    <rPh sb="7" eb="8">
      <t>エン</t>
    </rPh>
    <phoneticPr fontId="2"/>
  </si>
  <si>
    <t>＋  ５８８万円</t>
    <rPh sb="7" eb="8">
      <t>エン</t>
    </rPh>
    <phoneticPr fontId="2"/>
  </si>
  <si>
    <t>＋  ６００万円</t>
    <rPh sb="7" eb="8">
      <t>エン</t>
    </rPh>
    <phoneticPr fontId="2"/>
  </si>
  <si>
    <t>－　３３６万円 〕  ×  １／２　＋ 〔</t>
    <phoneticPr fontId="2"/>
  </si>
  <si>
    <t>－　３１２万円 〕  ×  １／２　＋ 〔</t>
    <phoneticPr fontId="2"/>
  </si>
  <si>
    <t>－　３２４万円 〕  ×  １／２　＋ 〔</t>
    <phoneticPr fontId="2"/>
  </si>
  <si>
    <t>－　３４８万円 〕  ×  １／２　＋ 〔</t>
    <phoneticPr fontId="2"/>
  </si>
  <si>
    <t>－　３６０万円 〕  ×  １／２　＋ 〔</t>
    <phoneticPr fontId="2"/>
  </si>
  <si>
    <t>－　３７２万円 〕  ×  １／２　＋ 〔</t>
    <phoneticPr fontId="2"/>
  </si>
  <si>
    <t>賃金のみで45万円超の場合</t>
    <rPh sb="9" eb="10">
      <t>チョウ</t>
    </rPh>
    <rPh sb="11" eb="13">
      <t>バアイ</t>
    </rPh>
    <phoneticPr fontId="2"/>
  </si>
  <si>
    <t>賃金のみで46万円超の場合</t>
    <rPh sb="9" eb="10">
      <t>チョウ</t>
    </rPh>
    <rPh sb="11" eb="13">
      <t>バアイ</t>
    </rPh>
    <phoneticPr fontId="2"/>
  </si>
  <si>
    <t>賃金のみで47万円超の場合</t>
    <rPh sb="9" eb="10">
      <t>チョウ</t>
    </rPh>
    <rPh sb="11" eb="13">
      <t>バアイ</t>
    </rPh>
    <phoneticPr fontId="2"/>
  </si>
  <si>
    <t>賃金のみで48万円超の場合</t>
    <rPh sb="9" eb="10">
      <t>チョウ</t>
    </rPh>
    <rPh sb="11" eb="13">
      <t>バアイ</t>
    </rPh>
    <phoneticPr fontId="2"/>
  </si>
  <si>
    <t>賃金のみで49万円超の場合</t>
    <rPh sb="9" eb="10">
      <t>チョウ</t>
    </rPh>
    <rPh sb="11" eb="13">
      <t>バアイ</t>
    </rPh>
    <phoneticPr fontId="2"/>
  </si>
  <si>
    <t>賃金のみで50万円超の場合</t>
    <rPh sb="9" eb="10">
      <t>チョウ</t>
    </rPh>
    <rPh sb="11" eb="13">
      <t>バアイ</t>
    </rPh>
    <phoneticPr fontId="2"/>
  </si>
  <si>
    <t>２６万円</t>
    <rPh sb="2" eb="4">
      <t>マンエン</t>
    </rPh>
    <phoneticPr fontId="2"/>
  </si>
  <si>
    <t>２７万円</t>
    <rPh sb="2" eb="4">
      <t>マンエン</t>
    </rPh>
    <phoneticPr fontId="2"/>
  </si>
  <si>
    <t>２９万円</t>
    <rPh sb="2" eb="4">
      <t>マンエン</t>
    </rPh>
    <phoneticPr fontId="2"/>
  </si>
  <si>
    <t>３０万円</t>
    <rPh sb="2" eb="4">
      <t>マンエン</t>
    </rPh>
    <phoneticPr fontId="2"/>
  </si>
  <si>
    <t>３１万円</t>
    <rPh sb="2" eb="4">
      <t>マンエン</t>
    </rPh>
    <phoneticPr fontId="2"/>
  </si>
  <si>
    <t>（１）賃金が</t>
    <rPh sb="3" eb="5">
      <t>チンギン</t>
    </rPh>
    <phoneticPr fontId="2"/>
  </si>
  <si>
    <t>（２）賃金が</t>
    <rPh sb="3" eb="5">
      <t>チンギン</t>
    </rPh>
    <phoneticPr fontId="2"/>
  </si>
  <si>
    <t>４５万円</t>
    <rPh sb="2" eb="3">
      <t>エン</t>
    </rPh>
    <phoneticPr fontId="2"/>
  </si>
  <si>
    <t>４６万円</t>
    <rPh sb="2" eb="3">
      <t>エン</t>
    </rPh>
    <phoneticPr fontId="2"/>
  </si>
  <si>
    <t>４７万円</t>
    <rPh sb="2" eb="3">
      <t>エン</t>
    </rPh>
    <phoneticPr fontId="2"/>
  </si>
  <si>
    <t>４８万円</t>
    <rPh sb="2" eb="3">
      <t>エン</t>
    </rPh>
    <phoneticPr fontId="2"/>
  </si>
  <si>
    <t>４９万円</t>
    <rPh sb="2" eb="3">
      <t>エン</t>
    </rPh>
    <phoneticPr fontId="2"/>
  </si>
  <si>
    <t>５０万円</t>
    <rPh sb="2" eb="3">
      <t>エン</t>
    </rPh>
    <phoneticPr fontId="2"/>
  </si>
  <si>
    <t>超過の算定</t>
    <rPh sb="0" eb="2">
      <t>チョウカ</t>
    </rPh>
    <rPh sb="3" eb="5">
      <t>サンテイ</t>
    </rPh>
    <phoneticPr fontId="2"/>
  </si>
  <si>
    <t>　</t>
    <phoneticPr fontId="2"/>
  </si>
  <si>
    <t>以下の算定</t>
    <rPh sb="0" eb="2">
      <t>イカ</t>
    </rPh>
    <rPh sb="3" eb="5">
      <t>サンテイ</t>
    </rPh>
    <phoneticPr fontId="2"/>
  </si>
  <si>
    <t>　</t>
    <phoneticPr fontId="2"/>
  </si>
  <si>
    <t>0</t>
    <phoneticPr fontId="2"/>
  </si>
  <si>
    <t>（賃金が４６万未満のみ）</t>
    <rPh sb="1" eb="3">
      <t>チンギン</t>
    </rPh>
    <rPh sb="6" eb="7">
      <t>マン</t>
    </rPh>
    <rPh sb="7" eb="9">
      <t>ミマン</t>
    </rPh>
    <phoneticPr fontId="2"/>
  </si>
  <si>
    <t>（賃金だけで４６万円を超える場合のみ）</t>
    <rPh sb="1" eb="3">
      <t>チンギン</t>
    </rPh>
    <rPh sb="8" eb="10">
      <t>マンエン</t>
    </rPh>
    <rPh sb="11" eb="12">
      <t>コ</t>
    </rPh>
    <rPh sb="14" eb="16">
      <t>バアイ</t>
    </rPh>
    <phoneticPr fontId="2"/>
  </si>
  <si>
    <t>の欄のみ入力してください。</t>
    <rPh sb="1" eb="2">
      <t>ラン</t>
    </rPh>
    <rPh sb="4" eb="6">
      <t>ニュウリョク</t>
    </rPh>
    <phoneticPr fontId="2"/>
  </si>
  <si>
    <t>（賃金が４7万円未満のみ）</t>
    <rPh sb="1" eb="3">
      <t>チンギン</t>
    </rPh>
    <rPh sb="6" eb="8">
      <t>マンエン</t>
    </rPh>
    <rPh sb="8" eb="10">
      <t>ミマン</t>
    </rPh>
    <phoneticPr fontId="2"/>
  </si>
  <si>
    <t>（賃金だけで４7万円を超える場合のみ）</t>
    <rPh sb="1" eb="3">
      <t>チンギン</t>
    </rPh>
    <rPh sb="8" eb="10">
      <t>マンエン</t>
    </rPh>
    <rPh sb="11" eb="12">
      <t>コ</t>
    </rPh>
    <rPh sb="14" eb="16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</si>
</sst>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&quot;月&quot;"/>
    <numFmt numFmtId="177" formatCode="#,##0&quot;年&quot;"/>
    <numFmt numFmtId="178" formatCode="0.00000"/>
    <numFmt numFmtId="179" formatCode="#,##0.0;[Red]\-#,##0.0"/>
    <numFmt numFmtId="180" formatCode="#,##0.000;[Red]\-#,##0.000"/>
    <numFmt numFmtId="181" formatCode="#,##0.0000;[Red]\-#,##0.0000"/>
    <numFmt numFmtId="182" formatCode="#,##0.000000;[Red]\-#,##0.000000"/>
  </numFmts>
  <fonts count="5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002060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b/>
      <sz val="11"/>
      <color rgb="FFC00000"/>
      <name val="HGPｺﾞｼｯｸM"/>
      <family val="3"/>
      <charset val="128"/>
    </font>
    <font>
      <sz val="11"/>
      <color rgb="FF002060"/>
      <name val="HGPｺﾞｼｯｸM"/>
      <family val="3"/>
      <charset val="128"/>
    </font>
    <font>
      <sz val="11"/>
      <color theme="9" tint="-0.499984740745262"/>
      <name val="HGPｺﾞｼｯｸM"/>
      <family val="3"/>
      <charset val="128"/>
    </font>
    <font>
      <sz val="10"/>
      <color theme="9" tint="-0.499984740745262"/>
      <name val="HGPｺﾞｼｯｸM"/>
      <family val="3"/>
      <charset val="128"/>
    </font>
    <font>
      <sz val="10"/>
      <color theme="9" tint="-0.499984740745262"/>
      <name val="ＭＳ Ｐゴシック"/>
      <family val="2"/>
      <charset val="128"/>
      <scheme val="minor"/>
    </font>
    <font>
      <b/>
      <sz val="11"/>
      <color rgb="FFC00000"/>
      <name val="ＭＳ Ｐゴシック"/>
      <family val="2"/>
      <charset val="128"/>
      <scheme val="minor"/>
    </font>
    <font>
      <sz val="11"/>
      <name val="HGPｺﾞｼｯｸM"/>
      <family val="3"/>
      <charset val="128"/>
    </font>
    <font>
      <b/>
      <sz val="10"/>
      <name val="HGPｺﾞｼｯｸM"/>
      <family val="3"/>
      <charset val="128"/>
    </font>
    <font>
      <sz val="10"/>
      <color rgb="FF002060"/>
      <name val="HGPｺﾞｼｯｸM"/>
      <family val="3"/>
      <charset val="128"/>
    </font>
    <font>
      <b/>
      <sz val="10"/>
      <color theme="9" tint="-0.499984740745262"/>
      <name val="HGPｺﾞｼｯｸM"/>
      <family val="3"/>
      <charset val="128"/>
    </font>
    <font>
      <sz val="11"/>
      <color rgb="FFC00000"/>
      <name val="HGPｺﾞｼｯｸM"/>
      <family val="3"/>
      <charset val="128"/>
    </font>
    <font>
      <sz val="11"/>
      <color theme="0" tint="-0.499984740745262"/>
      <name val="HGPｺﾞｼｯｸM"/>
      <family val="3"/>
      <charset val="128"/>
    </font>
    <font>
      <b/>
      <sz val="16"/>
      <color theme="9" tint="-0.499984740745262"/>
      <name val="HGPｺﾞｼｯｸM"/>
      <family val="3"/>
      <charset val="128"/>
    </font>
    <font>
      <b/>
      <sz val="11"/>
      <color theme="9" tint="-0.499984740745262"/>
      <name val="HGPｺﾞｼｯｸM"/>
      <family val="3"/>
      <charset val="128"/>
    </font>
    <font>
      <sz val="11"/>
      <color theme="9" tint="-0.499984740745262"/>
      <name val="ＭＳ Ｐゴシック"/>
      <family val="2"/>
      <charset val="128"/>
      <scheme val="minor"/>
    </font>
    <font>
      <sz val="10"/>
      <color theme="0" tint="-0.499984740745262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b/>
      <sz val="11"/>
      <color theme="0" tint="-0.499984740745262"/>
      <name val="HGPｺﾞｼｯｸM"/>
      <family val="3"/>
      <charset val="128"/>
    </font>
    <font>
      <sz val="9"/>
      <color theme="0" tint="-0.499984740745262"/>
      <name val="HGPｺﾞｼｯｸM"/>
      <family val="3"/>
      <charset val="128"/>
    </font>
    <font>
      <b/>
      <sz val="16"/>
      <color rgb="FFC00000"/>
      <name val="HGPｺﾞｼｯｸM"/>
      <family val="3"/>
      <charset val="128"/>
    </font>
    <font>
      <sz val="6"/>
      <name val="ＭＳ ゴシック"/>
      <family val="3"/>
      <charset val="128"/>
    </font>
    <font>
      <sz val="11"/>
      <color theme="5" tint="-0.249977111117893"/>
      <name val="HGPｺﾞｼｯｸM"/>
      <family val="3"/>
      <charset val="128"/>
    </font>
    <font>
      <b/>
      <sz val="16"/>
      <color theme="5" tint="-0.249977111117893"/>
      <name val="HGPｺﾞｼｯｸM"/>
      <family val="3"/>
      <charset val="128"/>
    </font>
    <font>
      <b/>
      <sz val="11"/>
      <color theme="5" tint="-0.249977111117893"/>
      <name val="HGPｺﾞｼｯｸM"/>
      <family val="3"/>
      <charset val="128"/>
    </font>
    <font>
      <sz val="11"/>
      <color rgb="FF00B050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sz val="10"/>
      <color rgb="FFFF0000"/>
      <name val="HGPｺﾞｼｯｸM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b/>
      <sz val="14"/>
      <color theme="0" tint="-0.499984740745262"/>
      <name val="HGPｺﾞｼｯｸM"/>
      <family val="3"/>
      <charset val="128"/>
    </font>
    <font>
      <b/>
      <sz val="16"/>
      <color rgb="FFFF0000"/>
      <name val="HGPｺﾞｼｯｸM"/>
      <family val="3"/>
      <charset val="128"/>
    </font>
    <font>
      <b/>
      <sz val="16"/>
      <color rgb="FFFF0000"/>
      <name val="ＭＳ Ｐゴシック"/>
      <family val="2"/>
      <charset val="128"/>
      <scheme val="minor"/>
    </font>
    <font>
      <sz val="16"/>
      <color rgb="FFFF0000"/>
      <name val="HGPｺﾞｼｯｸM"/>
      <family val="3"/>
      <charset val="128"/>
    </font>
    <font>
      <sz val="16"/>
      <color rgb="FFFF0000"/>
      <name val="ＭＳ Ｐゴシック"/>
      <family val="2"/>
      <charset val="128"/>
      <scheme val="minor"/>
    </font>
    <font>
      <sz val="12"/>
      <color theme="0" tint="-0.499984740745262"/>
      <name val="HGPｺﾞｼｯｸM"/>
      <family val="3"/>
      <charset val="128"/>
    </font>
    <font>
      <b/>
      <sz val="14"/>
      <color rgb="FFFF0000"/>
      <name val="HGPｺﾞｼｯｸM"/>
      <family val="3"/>
      <charset val="128"/>
    </font>
    <font>
      <sz val="11"/>
      <color theme="5" tint="-0.499984740745262"/>
      <name val="HGPｺﾞｼｯｸM"/>
      <family val="3"/>
      <charset val="128"/>
    </font>
    <font>
      <sz val="11"/>
      <name val="ＭＳ Ｐゴシック"/>
      <family val="2"/>
      <charset val="128"/>
      <scheme val="minor"/>
    </font>
    <font>
      <sz val="11"/>
      <color rgb="FF002060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0"/>
      <color theme="0"/>
      <name val="HGPｺﾞｼｯｸM"/>
      <family val="3"/>
      <charset val="128"/>
    </font>
    <font>
      <sz val="11"/>
      <color theme="0"/>
      <name val="HGPｺﾞｼｯｸM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0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C00000"/>
      </left>
      <right style="hair">
        <color auto="1"/>
      </right>
      <top/>
      <bottom style="medium">
        <color rgb="FFC00000"/>
      </bottom>
      <diagonal/>
    </border>
    <border>
      <left style="hair">
        <color auto="1"/>
      </left>
      <right style="hair">
        <color auto="1"/>
      </right>
      <top/>
      <bottom style="medium">
        <color rgb="FFC00000"/>
      </bottom>
      <diagonal/>
    </border>
    <border>
      <left style="hair">
        <color auto="1"/>
      </left>
      <right style="medium">
        <color rgb="FFC00000"/>
      </right>
      <top/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 style="medium">
        <color rgb="FFC00000"/>
      </left>
      <right style="hair">
        <color auto="1"/>
      </right>
      <top style="medium">
        <color rgb="FFC00000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rgb="FFC00000"/>
      </top>
      <bottom style="thin">
        <color auto="1"/>
      </bottom>
      <diagonal/>
    </border>
    <border>
      <left style="hair">
        <color auto="1"/>
      </left>
      <right style="medium">
        <color rgb="FFC00000"/>
      </right>
      <top style="medium">
        <color rgb="FFC00000"/>
      </top>
      <bottom style="thin">
        <color auto="1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thin">
        <color auto="1"/>
      </bottom>
      <diagonal/>
    </border>
    <border>
      <left/>
      <right/>
      <top style="double">
        <color rgb="FFC00000"/>
      </top>
      <bottom/>
      <diagonal/>
    </border>
    <border>
      <left/>
      <right/>
      <top/>
      <bottom style="double">
        <color rgb="FFC00000"/>
      </bottom>
      <diagonal/>
    </border>
    <border>
      <left style="hair">
        <color auto="1"/>
      </left>
      <right style="medium">
        <color rgb="FFC00000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double">
        <color rgb="FFC00000"/>
      </left>
      <right style="double">
        <color rgb="FFC00000"/>
      </right>
      <top style="double">
        <color rgb="FFC00000"/>
      </top>
      <bottom/>
      <diagonal/>
    </border>
    <border>
      <left style="double">
        <color rgb="FFC00000"/>
      </left>
      <right style="double">
        <color rgb="FFC00000"/>
      </right>
      <top style="thin">
        <color auto="1"/>
      </top>
      <bottom style="double">
        <color rgb="FFC00000"/>
      </bottom>
      <diagonal/>
    </border>
    <border>
      <left style="medium">
        <color rgb="FFC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thick">
        <color theme="5" tint="-0.24994659260841701"/>
      </right>
      <top/>
      <bottom/>
      <diagonal/>
    </border>
    <border>
      <left style="slantDashDot">
        <color rgb="FFC00000"/>
      </left>
      <right/>
      <top/>
      <bottom/>
      <diagonal/>
    </border>
    <border>
      <left style="thick">
        <color theme="5" tint="-0.24994659260841701"/>
      </left>
      <right/>
      <top style="thick">
        <color theme="5" tint="-0.24994659260841701"/>
      </top>
      <bottom style="thick">
        <color theme="5" tint="-0.24994659260841701"/>
      </bottom>
      <diagonal/>
    </border>
    <border>
      <left/>
      <right/>
      <top style="thick">
        <color theme="5" tint="-0.24994659260841701"/>
      </top>
      <bottom style="thick">
        <color theme="5" tint="-0.24994659260841701"/>
      </bottom>
      <diagonal/>
    </border>
    <border>
      <left/>
      <right style="thick">
        <color theme="5" tint="-0.24994659260841701"/>
      </right>
      <top style="thick">
        <color theme="5" tint="-0.24994659260841701"/>
      </top>
      <bottom style="thick">
        <color theme="5" tint="-0.24994659260841701"/>
      </bottom>
      <diagonal/>
    </border>
    <border>
      <left style="thin">
        <color theme="5" tint="-0.24994659260841701"/>
      </left>
      <right/>
      <top style="thin">
        <color theme="5" tint="-0.24994659260841701"/>
      </top>
      <bottom style="thin">
        <color theme="5" tint="-0.24994659260841701"/>
      </bottom>
      <diagonal/>
    </border>
    <border>
      <left/>
      <right/>
      <top style="thin">
        <color theme="5" tint="-0.24994659260841701"/>
      </top>
      <bottom style="thin">
        <color theme="5" tint="-0.24994659260841701"/>
      </bottom>
      <diagonal/>
    </border>
    <border>
      <left/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/>
      <right style="slantDashDot">
        <color rgb="FFC00000"/>
      </right>
      <top/>
      <bottom/>
      <diagonal/>
    </border>
    <border>
      <left style="medium">
        <color theme="5" tint="-0.24994659260841701"/>
      </left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/>
      <bottom/>
      <diagonal/>
    </border>
    <border>
      <left/>
      <right style="medium">
        <color theme="9" tint="-0.499984740745262"/>
      </right>
      <top/>
      <bottom/>
      <diagonal/>
    </border>
    <border>
      <left style="medium">
        <color theme="5" tint="-0.24994659260841701"/>
      </left>
      <right/>
      <top/>
      <bottom/>
      <diagonal/>
    </border>
    <border>
      <left style="double">
        <color rgb="FFC00000"/>
      </left>
      <right/>
      <top style="double">
        <color rgb="FFC00000"/>
      </top>
      <bottom/>
      <diagonal/>
    </border>
    <border>
      <left/>
      <right style="double">
        <color rgb="FFC00000"/>
      </right>
      <top style="double">
        <color rgb="FFC00000"/>
      </top>
      <bottom/>
      <diagonal/>
    </border>
    <border>
      <left style="double">
        <color rgb="FFC00000"/>
      </left>
      <right/>
      <top/>
      <bottom/>
      <diagonal/>
    </border>
    <border>
      <left/>
      <right style="double">
        <color rgb="FFC00000"/>
      </right>
      <top/>
      <bottom/>
      <diagonal/>
    </border>
    <border>
      <left style="double">
        <color rgb="FFC00000"/>
      </left>
      <right style="hair">
        <color auto="1"/>
      </right>
      <top/>
      <bottom/>
      <diagonal/>
    </border>
    <border>
      <left style="double">
        <color rgb="FFC00000"/>
      </left>
      <right/>
      <top/>
      <bottom style="double">
        <color rgb="FFC00000"/>
      </bottom>
      <diagonal/>
    </border>
    <border>
      <left/>
      <right style="double">
        <color rgb="FFC00000"/>
      </right>
      <top/>
      <bottom style="double">
        <color rgb="FFC00000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ck">
        <color rgb="FF002060"/>
      </left>
      <right/>
      <top style="thick">
        <color rgb="FF002060"/>
      </top>
      <bottom style="thick">
        <color rgb="FF002060"/>
      </bottom>
      <diagonal/>
    </border>
    <border>
      <left/>
      <right/>
      <top style="thick">
        <color rgb="FF002060"/>
      </top>
      <bottom style="thick">
        <color rgb="FF002060"/>
      </bottom>
      <diagonal/>
    </border>
    <border>
      <left/>
      <right style="thick">
        <color rgb="FF002060"/>
      </right>
      <top style="thick">
        <color rgb="FF002060"/>
      </top>
      <bottom style="thick">
        <color rgb="FF002060"/>
      </bottom>
      <diagonal/>
    </border>
    <border>
      <left style="thick">
        <color theme="0" tint="-0.499984740745262"/>
      </left>
      <right/>
      <top style="thick">
        <color theme="0" tint="-0.499984740745262"/>
      </top>
      <bottom style="thick">
        <color theme="0" tint="-0.499984740745262"/>
      </bottom>
      <diagonal/>
    </border>
    <border>
      <left/>
      <right/>
      <top style="thick">
        <color theme="0" tint="-0.499984740745262"/>
      </top>
      <bottom style="thick">
        <color theme="0" tint="-0.499984740745262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medium">
        <color theme="5" tint="-0.24994659260841701"/>
      </right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 diagonalUp="1">
      <left style="hair">
        <color auto="1"/>
      </left>
      <right style="thin">
        <color indexed="64"/>
      </right>
      <top/>
      <bottom style="thin">
        <color indexed="64"/>
      </bottom>
      <diagonal style="hair">
        <color auto="1"/>
      </diagonal>
    </border>
    <border>
      <left style="medium">
        <color rgb="FFC00000"/>
      </left>
      <right/>
      <top style="medium">
        <color rgb="FFC00000"/>
      </top>
      <bottom style="thin">
        <color auto="1"/>
      </bottom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 style="medium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 style="medium">
        <color rgb="FFC00000"/>
      </left>
      <right/>
      <top style="thin">
        <color rgb="FFC00000"/>
      </top>
      <bottom style="medium">
        <color rgb="FFC00000"/>
      </bottom>
      <diagonal/>
    </border>
    <border>
      <left style="thin">
        <color auto="1"/>
      </left>
      <right style="medium">
        <color rgb="FFC00000"/>
      </right>
      <top style="thin">
        <color rgb="FFC00000"/>
      </top>
      <bottom style="medium">
        <color rgb="FFC00000"/>
      </bottom>
      <diagonal/>
    </border>
    <border>
      <left style="medium">
        <color rgb="FFC00000"/>
      </left>
      <right/>
      <top style="medium">
        <color rgb="FFC00000"/>
      </top>
      <bottom style="thin">
        <color rgb="FFC00000"/>
      </bottom>
      <diagonal/>
    </border>
    <border>
      <left/>
      <right style="thin">
        <color auto="1"/>
      </right>
      <top style="medium">
        <color rgb="FFC00000"/>
      </top>
      <bottom style="thin">
        <color rgb="FFC00000"/>
      </bottom>
      <diagonal/>
    </border>
    <border>
      <left style="thin">
        <color auto="1"/>
      </left>
      <right style="medium">
        <color rgb="FFC00000"/>
      </right>
      <top style="medium">
        <color rgb="FFC00000"/>
      </top>
      <bottom style="thin">
        <color rgb="FFC00000"/>
      </bottom>
      <diagonal/>
    </border>
    <border>
      <left/>
      <right style="thin">
        <color auto="1"/>
      </right>
      <top style="thin">
        <color rgb="FFC00000"/>
      </top>
      <bottom style="medium">
        <color rgb="FFC00000"/>
      </bottom>
      <diagonal/>
    </border>
    <border>
      <left style="medium">
        <color theme="5" tint="-0.24994659260841701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theme="5" tint="-0.24994659260841701"/>
      </right>
      <top style="medium">
        <color rgb="FF002060"/>
      </top>
      <bottom/>
      <diagonal/>
    </border>
    <border>
      <left/>
      <right/>
      <top/>
      <bottom style="medium">
        <color rgb="FF00206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41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38" fontId="0" fillId="0" borderId="1" xfId="1" applyFont="1" applyBorder="1">
      <alignment vertical="center"/>
    </xf>
    <xf numFmtId="0" fontId="3" fillId="0" borderId="0" xfId="0" applyFont="1">
      <alignment vertical="center"/>
    </xf>
    <xf numFmtId="0" fontId="3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0" borderId="0" xfId="1" applyFont="1" applyFill="1" applyBorder="1" applyAlignment="1">
      <alignment vertical="center"/>
    </xf>
    <xf numFmtId="38" fontId="0" fillId="0" borderId="0" xfId="0" applyNumberForma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3" fillId="0" borderId="0" xfId="1" applyFont="1" applyBorder="1">
      <alignment vertical="center"/>
    </xf>
    <xf numFmtId="3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9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177" fontId="0" fillId="0" borderId="2" xfId="0" applyNumberFormat="1" applyBorder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7" fontId="0" fillId="2" borderId="15" xfId="0" applyNumberFormat="1" applyFill="1" applyBorder="1" applyAlignment="1" applyProtection="1">
      <alignment vertical="center"/>
      <protection locked="0"/>
    </xf>
    <xf numFmtId="176" fontId="0" fillId="2" borderId="16" xfId="0" applyNumberFormat="1" applyFill="1" applyBorder="1" applyProtection="1">
      <alignment vertical="center"/>
      <protection locked="0"/>
    </xf>
    <xf numFmtId="176" fontId="0" fillId="0" borderId="4" xfId="0" applyNumberFormat="1" applyBorder="1">
      <alignment vertical="center"/>
    </xf>
    <xf numFmtId="176" fontId="0" fillId="0" borderId="0" xfId="0" applyNumberFormat="1" applyBorder="1">
      <alignment vertical="center"/>
    </xf>
    <xf numFmtId="178" fontId="0" fillId="0" borderId="0" xfId="0" applyNumberFormat="1">
      <alignment vertical="center"/>
    </xf>
    <xf numFmtId="40" fontId="3" fillId="0" borderId="9" xfId="1" applyNumberFormat="1" applyFont="1" applyBorder="1">
      <alignment vertical="center"/>
    </xf>
    <xf numFmtId="38" fontId="0" fillId="0" borderId="0" xfId="1" applyFont="1">
      <alignment vertical="center"/>
    </xf>
    <xf numFmtId="38" fontId="8" fillId="0" borderId="0" xfId="1" applyFont="1">
      <alignment vertical="center"/>
    </xf>
    <xf numFmtId="38" fontId="8" fillId="0" borderId="0" xfId="1" applyFont="1" applyAlignment="1">
      <alignment horizontal="center" vertical="center"/>
    </xf>
    <xf numFmtId="38" fontId="8" fillId="0" borderId="0" xfId="1" applyFont="1" applyAlignment="1">
      <alignment horizontal="center" vertical="center" shrinkToFit="1"/>
    </xf>
    <xf numFmtId="38" fontId="8" fillId="0" borderId="0" xfId="1" applyFont="1" applyAlignment="1">
      <alignment vertical="center" shrinkToFit="1"/>
    </xf>
    <xf numFmtId="38" fontId="8" fillId="0" borderId="0" xfId="1" applyFont="1" applyBorder="1">
      <alignment vertical="center"/>
    </xf>
    <xf numFmtId="38" fontId="8" fillId="0" borderId="0" xfId="1" applyFont="1" applyBorder="1" applyAlignment="1">
      <alignment horizontal="center" vertical="center"/>
    </xf>
    <xf numFmtId="10" fontId="11" fillId="0" borderId="0" xfId="2" applyNumberFormat="1" applyFont="1" applyAlignment="1">
      <alignment vertical="center" shrinkToFit="1"/>
    </xf>
    <xf numFmtId="38" fontId="18" fillId="0" borderId="0" xfId="1" applyFont="1" applyAlignment="1">
      <alignment horizontal="center" vertical="center"/>
    </xf>
    <xf numFmtId="38" fontId="21" fillId="0" borderId="0" xfId="1" applyFont="1">
      <alignment vertical="center"/>
    </xf>
    <xf numFmtId="38" fontId="21" fillId="0" borderId="0" xfId="1" applyFont="1" applyAlignment="1">
      <alignment horizontal="center" vertical="center"/>
    </xf>
    <xf numFmtId="38" fontId="21" fillId="0" borderId="0" xfId="1" applyFont="1" applyAlignment="1">
      <alignment horizontal="right" vertical="center"/>
    </xf>
    <xf numFmtId="38" fontId="22" fillId="0" borderId="0" xfId="1" applyFont="1">
      <alignment vertical="center"/>
    </xf>
    <xf numFmtId="38" fontId="23" fillId="0" borderId="0" xfId="1" applyFont="1">
      <alignment vertical="center"/>
    </xf>
    <xf numFmtId="38" fontId="23" fillId="0" borderId="0" xfId="1" applyFont="1" applyAlignment="1">
      <alignment horizontal="center" vertical="center"/>
    </xf>
    <xf numFmtId="38" fontId="12" fillId="0" borderId="0" xfId="1" applyFont="1" applyBorder="1" applyAlignment="1">
      <alignment horizontal="center" vertical="center"/>
    </xf>
    <xf numFmtId="38" fontId="12" fillId="0" borderId="0" xfId="1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38" fontId="21" fillId="0" borderId="53" xfId="1" applyFont="1" applyBorder="1">
      <alignment vertical="center"/>
    </xf>
    <xf numFmtId="38" fontId="8" fillId="0" borderId="53" xfId="1" applyFont="1" applyBorder="1">
      <alignment vertical="center"/>
    </xf>
    <xf numFmtId="38" fontId="21" fillId="0" borderId="0" xfId="1" applyFont="1" applyBorder="1" applyAlignment="1">
      <alignment horizontal="center" vertical="center"/>
    </xf>
    <xf numFmtId="40" fontId="21" fillId="0" borderId="0" xfId="1" applyNumberFormat="1" applyFont="1" applyAlignment="1">
      <alignment horizontal="center" vertical="center"/>
    </xf>
    <xf numFmtId="40" fontId="0" fillId="0" borderId="0" xfId="0" applyNumberFormat="1" applyBorder="1" applyAlignment="1">
      <alignment vertical="center" shrinkToFit="1"/>
    </xf>
    <xf numFmtId="40" fontId="21" fillId="0" borderId="0" xfId="1" applyNumberFormat="1" applyFont="1">
      <alignment vertical="center"/>
    </xf>
    <xf numFmtId="40" fontId="8" fillId="0" borderId="0" xfId="1" applyNumberFormat="1" applyFont="1">
      <alignment vertical="center"/>
    </xf>
    <xf numFmtId="38" fontId="25" fillId="0" borderId="0" xfId="1" applyFont="1" applyAlignment="1">
      <alignment horizontal="center" vertical="center"/>
    </xf>
    <xf numFmtId="38" fontId="26" fillId="0" borderId="0" xfId="1" applyFont="1">
      <alignment vertical="center"/>
    </xf>
    <xf numFmtId="38" fontId="21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38" fontId="21" fillId="0" borderId="0" xfId="1" quotePrefix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38" fontId="21" fillId="0" borderId="0" xfId="1" quotePrefix="1" applyFont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38" fontId="21" fillId="0" borderId="0" xfId="1" applyFont="1" applyBorder="1">
      <alignment vertical="center"/>
    </xf>
    <xf numFmtId="38" fontId="20" fillId="0" borderId="0" xfId="1" applyFont="1" applyAlignment="1">
      <alignment horizontal="right" vertical="center"/>
    </xf>
    <xf numFmtId="38" fontId="11" fillId="0" borderId="0" xfId="1" applyFont="1">
      <alignment vertical="center"/>
    </xf>
    <xf numFmtId="38" fontId="11" fillId="0" borderId="0" xfId="1" applyFont="1" applyAlignment="1">
      <alignment horizontal="center" vertical="center"/>
    </xf>
    <xf numFmtId="38" fontId="11" fillId="0" borderId="0" xfId="1" applyFont="1" applyAlignment="1">
      <alignment vertical="center" shrinkToFit="1"/>
    </xf>
    <xf numFmtId="38" fontId="8" fillId="0" borderId="36" xfId="1" applyFont="1" applyBorder="1">
      <alignment vertical="center"/>
    </xf>
    <xf numFmtId="38" fontId="21" fillId="0" borderId="0" xfId="1" applyFont="1" applyAlignment="1">
      <alignment horizontal="center" vertical="center"/>
    </xf>
    <xf numFmtId="40" fontId="21" fillId="0" borderId="0" xfId="1" quotePrefix="1" applyNumberFormat="1" applyFont="1" applyAlignment="1">
      <alignment horizontal="center" vertical="center"/>
    </xf>
    <xf numFmtId="38" fontId="21" fillId="0" borderId="0" xfId="1" applyFont="1" applyFill="1">
      <alignment vertical="center"/>
    </xf>
    <xf numFmtId="38" fontId="21" fillId="0" borderId="0" xfId="1" applyFont="1" applyFill="1" applyAlignment="1">
      <alignment horizontal="center" vertical="center"/>
    </xf>
    <xf numFmtId="38" fontId="8" fillId="0" borderId="0" xfId="1" applyFont="1" applyFill="1">
      <alignment vertical="center"/>
    </xf>
    <xf numFmtId="40" fontId="21" fillId="0" borderId="0" xfId="1" applyNumberFormat="1" applyFont="1" applyFill="1">
      <alignment vertical="center"/>
    </xf>
    <xf numFmtId="40" fontId="21" fillId="0" borderId="0" xfId="1" applyNumberFormat="1" applyFont="1" applyBorder="1">
      <alignment vertical="center"/>
    </xf>
    <xf numFmtId="38" fontId="8" fillId="0" borderId="46" xfId="1" applyFont="1" applyBorder="1">
      <alignment vertical="center"/>
    </xf>
    <xf numFmtId="38" fontId="21" fillId="0" borderId="46" xfId="1" applyFont="1" applyBorder="1">
      <alignment vertical="center"/>
    </xf>
    <xf numFmtId="38" fontId="29" fillId="0" borderId="0" xfId="1" applyFont="1">
      <alignment vertical="center"/>
    </xf>
    <xf numFmtId="38" fontId="21" fillId="0" borderId="0" xfId="1" applyFont="1" applyAlignment="1">
      <alignment horizontal="center" vertical="center"/>
    </xf>
    <xf numFmtId="180" fontId="8" fillId="0" borderId="0" xfId="1" applyNumberFormat="1" applyFont="1">
      <alignment vertical="center"/>
    </xf>
    <xf numFmtId="180" fontId="21" fillId="0" borderId="0" xfId="1" applyNumberFormat="1" applyFont="1" applyAlignment="1">
      <alignment horizontal="center" vertical="center"/>
    </xf>
    <xf numFmtId="38" fontId="20" fillId="0" borderId="0" xfId="1" applyFont="1" applyAlignment="1">
      <alignment horizontal="center" vertical="center"/>
    </xf>
    <xf numFmtId="38" fontId="21" fillId="0" borderId="8" xfId="1" applyFont="1" applyBorder="1">
      <alignment vertical="center"/>
    </xf>
    <xf numFmtId="38" fontId="21" fillId="0" borderId="70" xfId="1" applyFont="1" applyBorder="1">
      <alignment vertical="center"/>
    </xf>
    <xf numFmtId="38" fontId="21" fillId="0" borderId="71" xfId="1" applyFont="1" applyBorder="1">
      <alignment vertical="center"/>
    </xf>
    <xf numFmtId="38" fontId="21" fillId="0" borderId="11" xfId="1" applyFont="1" applyBorder="1">
      <alignment vertical="center"/>
    </xf>
    <xf numFmtId="38" fontId="21" fillId="0" borderId="10" xfId="1" applyFont="1" applyBorder="1">
      <alignment vertical="center"/>
    </xf>
    <xf numFmtId="38" fontId="12" fillId="0" borderId="10" xfId="1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38" fontId="21" fillId="0" borderId="0" xfId="1" applyFont="1" applyAlignment="1">
      <alignment horizontal="center" vertical="center"/>
    </xf>
    <xf numFmtId="40" fontId="21" fillId="0" borderId="0" xfId="1" applyNumberFormat="1" applyFont="1" applyAlignment="1">
      <alignment horizontal="center" vertical="center"/>
    </xf>
    <xf numFmtId="38" fontId="8" fillId="0" borderId="71" xfId="1" applyFont="1" applyBorder="1">
      <alignment vertical="center"/>
    </xf>
    <xf numFmtId="38" fontId="21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40" fontId="21" fillId="0" borderId="0" xfId="1" applyNumberFormat="1" applyFont="1" applyAlignment="1">
      <alignment horizontal="center" vertical="center"/>
    </xf>
    <xf numFmtId="38" fontId="21" fillId="0" borderId="0" xfId="1" quotePrefix="1" applyFont="1" applyAlignment="1">
      <alignment horizontal="center" vertical="center"/>
    </xf>
    <xf numFmtId="38" fontId="8" fillId="4" borderId="32" xfId="1" applyFont="1" applyFill="1" applyBorder="1" applyAlignment="1">
      <alignment horizontal="center" vertical="center"/>
    </xf>
    <xf numFmtId="38" fontId="8" fillId="4" borderId="33" xfId="1" applyFont="1" applyFill="1" applyBorder="1" applyAlignment="1">
      <alignment horizontal="center" vertical="center"/>
    </xf>
    <xf numFmtId="38" fontId="8" fillId="4" borderId="28" xfId="1" applyFont="1" applyFill="1" applyBorder="1">
      <alignment vertical="center"/>
    </xf>
    <xf numFmtId="38" fontId="8" fillId="4" borderId="29" xfId="1" applyFont="1" applyFill="1" applyBorder="1">
      <alignment vertical="center"/>
    </xf>
    <xf numFmtId="40" fontId="12" fillId="0" borderId="0" xfId="1" applyNumberFormat="1" applyFont="1" applyBorder="1" applyAlignment="1">
      <alignment vertical="center"/>
    </xf>
    <xf numFmtId="40" fontId="0" fillId="0" borderId="0" xfId="0" applyNumberFormat="1" applyBorder="1" applyAlignment="1">
      <alignment vertical="center"/>
    </xf>
    <xf numFmtId="180" fontId="11" fillId="0" borderId="0" xfId="1" applyNumberFormat="1" applyFont="1" applyAlignment="1">
      <alignment horizontal="center" vertical="center"/>
    </xf>
    <xf numFmtId="38" fontId="31" fillId="0" borderId="0" xfId="1" applyFont="1">
      <alignment vertical="center"/>
    </xf>
    <xf numFmtId="38" fontId="21" fillId="0" borderId="0" xfId="1" applyFont="1" applyAlignment="1">
      <alignment horizontal="center" vertical="center"/>
    </xf>
    <xf numFmtId="38" fontId="34" fillId="0" borderId="0" xfId="1" applyFont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40" fontId="3" fillId="0" borderId="0" xfId="1" applyNumberFormat="1" applyFont="1" applyBorder="1">
      <alignment vertical="center"/>
    </xf>
    <xf numFmtId="38" fontId="0" fillId="0" borderId="0" xfId="0" applyNumberFormat="1" applyBorder="1">
      <alignment vertical="center"/>
    </xf>
    <xf numFmtId="38" fontId="0" fillId="0" borderId="0" xfId="0" applyNumberFormat="1" applyAlignment="1">
      <alignment horizontal="center" vertical="center"/>
    </xf>
    <xf numFmtId="38" fontId="36" fillId="0" borderId="0" xfId="1" applyFont="1" applyAlignment="1">
      <alignment horizontal="center" vertical="center"/>
    </xf>
    <xf numFmtId="38" fontId="35" fillId="0" borderId="0" xfId="1" applyFont="1">
      <alignment vertical="center"/>
    </xf>
    <xf numFmtId="38" fontId="8" fillId="0" borderId="0" xfId="1" applyFont="1" applyBorder="1" applyAlignment="1">
      <alignment vertical="center"/>
    </xf>
    <xf numFmtId="38" fontId="35" fillId="0" borderId="0" xfId="1" applyFont="1" applyAlignment="1">
      <alignment horizontal="right" vertical="center"/>
    </xf>
    <xf numFmtId="0" fontId="37" fillId="0" borderId="0" xfId="0" applyFont="1" applyAlignment="1">
      <alignment horizontal="center" vertical="center"/>
    </xf>
    <xf numFmtId="38" fontId="35" fillId="0" borderId="0" xfId="1" applyFont="1" applyAlignment="1">
      <alignment horizontal="center" vertical="center"/>
    </xf>
    <xf numFmtId="38" fontId="35" fillId="0" borderId="0" xfId="1" quotePrefix="1" applyFont="1" applyAlignment="1">
      <alignment horizontal="center" vertical="center"/>
    </xf>
    <xf numFmtId="38" fontId="35" fillId="0" borderId="0" xfId="1" applyFont="1" applyAlignment="1">
      <alignment horizontal="left" vertical="center"/>
    </xf>
    <xf numFmtId="38" fontId="18" fillId="0" borderId="0" xfId="1" applyFont="1">
      <alignment vertical="center"/>
    </xf>
    <xf numFmtId="38" fontId="21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40" fontId="21" fillId="0" borderId="0" xfId="1" applyNumberFormat="1" applyFont="1" applyAlignment="1">
      <alignment horizontal="center" vertical="center"/>
    </xf>
    <xf numFmtId="38" fontId="11" fillId="0" borderId="0" xfId="1" applyFont="1" applyAlignment="1">
      <alignment vertical="center" shrinkToFit="1"/>
    </xf>
    <xf numFmtId="38" fontId="11" fillId="0" borderId="0" xfId="1" quotePrefix="1" applyFont="1" applyAlignment="1">
      <alignment horizontal="center" vertical="center"/>
    </xf>
    <xf numFmtId="38" fontId="21" fillId="0" borderId="0" xfId="1" applyFont="1" applyAlignment="1">
      <alignment horizontal="center" vertical="center"/>
    </xf>
    <xf numFmtId="38" fontId="21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40" fontId="21" fillId="0" borderId="0" xfId="1" applyNumberFormat="1" applyFont="1" applyAlignment="1">
      <alignment horizontal="center" vertical="center"/>
    </xf>
    <xf numFmtId="38" fontId="21" fillId="0" borderId="0" xfId="1" applyFont="1" applyAlignment="1">
      <alignment horizontal="center" vertical="center"/>
    </xf>
    <xf numFmtId="38" fontId="21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38" fontId="21" fillId="0" borderId="0" xfId="1" quotePrefix="1" applyFont="1" applyAlignment="1">
      <alignment horizontal="center" vertical="center"/>
    </xf>
    <xf numFmtId="40" fontId="21" fillId="0" borderId="0" xfId="1" applyNumberFormat="1" applyFont="1" applyAlignment="1">
      <alignment horizontal="center" vertical="center"/>
    </xf>
    <xf numFmtId="38" fontId="11" fillId="5" borderId="3" xfId="1" applyFont="1" applyFill="1" applyBorder="1" applyAlignment="1">
      <alignment horizontal="center" vertical="center" shrinkToFit="1"/>
    </xf>
    <xf numFmtId="38" fontId="11" fillId="5" borderId="12" xfId="1" applyFont="1" applyFill="1" applyBorder="1" applyAlignment="1">
      <alignment vertical="center" shrinkToFit="1"/>
    </xf>
    <xf numFmtId="38" fontId="21" fillId="0" borderId="0" xfId="1" applyFont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47" fillId="0" borderId="79" xfId="0" applyFont="1" applyBorder="1">
      <alignment vertical="center"/>
    </xf>
    <xf numFmtId="0" fontId="47" fillId="0" borderId="80" xfId="0" applyFont="1" applyBorder="1">
      <alignment vertical="center"/>
    </xf>
    <xf numFmtId="0" fontId="24" fillId="0" borderId="0" xfId="0" applyFont="1" applyBorder="1" applyAlignment="1">
      <alignment vertical="center"/>
    </xf>
    <xf numFmtId="179" fontId="12" fillId="0" borderId="0" xfId="1" applyNumberFormat="1" applyFont="1" applyBorder="1" applyAlignment="1">
      <alignment vertical="center"/>
    </xf>
    <xf numFmtId="179" fontId="24" fillId="0" borderId="0" xfId="0" applyNumberFormat="1" applyFont="1" applyBorder="1" applyAlignment="1">
      <alignment vertical="center"/>
    </xf>
    <xf numFmtId="38" fontId="8" fillId="0" borderId="96" xfId="1" applyFont="1" applyBorder="1">
      <alignment vertical="center"/>
    </xf>
    <xf numFmtId="38" fontId="24" fillId="0" borderId="94" xfId="0" applyNumberFormat="1" applyFont="1" applyBorder="1">
      <alignment vertical="center"/>
    </xf>
    <xf numFmtId="38" fontId="35" fillId="0" borderId="0" xfId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179" fontId="16" fillId="0" borderId="0" xfId="1" applyNumberFormat="1" applyFont="1" applyBorder="1" applyAlignment="1">
      <alignment vertical="center"/>
    </xf>
    <xf numFmtId="179" fontId="46" fillId="0" borderId="0" xfId="0" applyNumberFormat="1" applyFont="1" applyBorder="1" applyAlignment="1">
      <alignment vertical="center"/>
    </xf>
    <xf numFmtId="38" fontId="8" fillId="0" borderId="99" xfId="1" applyFont="1" applyBorder="1">
      <alignment vertical="center"/>
    </xf>
    <xf numFmtId="0" fontId="0" fillId="0" borderId="0" xfId="0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38" fontId="21" fillId="0" borderId="0" xfId="1" quotePrefix="1" applyFont="1" applyBorder="1" applyAlignment="1">
      <alignment horizontal="right" vertical="center" shrinkToFit="1"/>
    </xf>
    <xf numFmtId="0" fontId="0" fillId="0" borderId="0" xfId="0" applyBorder="1" applyAlignment="1">
      <alignment vertical="center" shrinkToFit="1"/>
    </xf>
    <xf numFmtId="0" fontId="7" fillId="0" borderId="0" xfId="0" applyFont="1" applyBorder="1" applyAlignment="1">
      <alignment horizontal="center" vertical="center"/>
    </xf>
    <xf numFmtId="0" fontId="0" fillId="0" borderId="104" xfId="0" applyBorder="1" applyAlignment="1">
      <alignment vertical="center" shrinkToFit="1"/>
    </xf>
    <xf numFmtId="0" fontId="47" fillId="0" borderId="79" xfId="0" applyFont="1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80" xfId="0" applyBorder="1" applyAlignment="1">
      <alignment vertical="center"/>
    </xf>
    <xf numFmtId="38" fontId="8" fillId="6" borderId="0" xfId="1" applyFont="1" applyFill="1">
      <alignment vertical="center"/>
    </xf>
    <xf numFmtId="38" fontId="21" fillId="6" borderId="0" xfId="1" applyFont="1" applyFill="1" applyAlignment="1">
      <alignment horizontal="center" vertical="center"/>
    </xf>
    <xf numFmtId="38" fontId="8" fillId="6" borderId="0" xfId="1" applyFont="1" applyFill="1" applyBorder="1">
      <alignment vertical="center"/>
    </xf>
    <xf numFmtId="38" fontId="21" fillId="6" borderId="0" xfId="1" applyFont="1" applyFill="1">
      <alignment vertical="center"/>
    </xf>
    <xf numFmtId="40" fontId="21" fillId="6" borderId="0" xfId="1" applyNumberFormat="1" applyFont="1" applyFill="1" applyAlignment="1">
      <alignment horizontal="center" vertical="center"/>
    </xf>
    <xf numFmtId="38" fontId="25" fillId="6" borderId="0" xfId="1" applyFon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38" fontId="21" fillId="6" borderId="0" xfId="1" quotePrefix="1" applyFont="1" applyFill="1" applyAlignment="1">
      <alignment horizontal="center" vertical="center"/>
    </xf>
    <xf numFmtId="38" fontId="34" fillId="6" borderId="0" xfId="1" applyFont="1" applyFill="1" applyAlignment="1">
      <alignment horizontal="center" vertical="center"/>
    </xf>
    <xf numFmtId="38" fontId="32" fillId="6" borderId="0" xfId="1" applyFont="1" applyFill="1">
      <alignment vertical="center"/>
    </xf>
    <xf numFmtId="38" fontId="33" fillId="6" borderId="0" xfId="1" applyFont="1" applyFill="1">
      <alignment vertical="center"/>
    </xf>
    <xf numFmtId="38" fontId="10" fillId="6" borderId="0" xfId="1" applyFont="1" applyFill="1">
      <alignment vertical="center"/>
    </xf>
    <xf numFmtId="38" fontId="23" fillId="6" borderId="0" xfId="1" applyFont="1" applyFill="1" applyAlignment="1">
      <alignment horizontal="center" vertical="center"/>
    </xf>
    <xf numFmtId="38" fontId="23" fillId="6" borderId="0" xfId="1" applyFont="1" applyFill="1">
      <alignment vertical="center"/>
    </xf>
    <xf numFmtId="38" fontId="8" fillId="6" borderId="0" xfId="1" applyFont="1" applyFill="1" applyAlignment="1">
      <alignment horizontal="center" vertical="center"/>
    </xf>
    <xf numFmtId="38" fontId="45" fillId="6" borderId="0" xfId="1" applyFont="1" applyFill="1">
      <alignment vertical="center"/>
    </xf>
    <xf numFmtId="49" fontId="8" fillId="6" borderId="0" xfId="1" quotePrefix="1" applyNumberFormat="1" applyFont="1" applyFill="1">
      <alignment vertical="center"/>
    </xf>
    <xf numFmtId="38" fontId="38" fillId="6" borderId="0" xfId="1" applyFont="1" applyFill="1">
      <alignment vertical="center"/>
    </xf>
    <xf numFmtId="38" fontId="44" fillId="6" borderId="0" xfId="1" applyFont="1" applyFill="1">
      <alignment vertical="center"/>
    </xf>
    <xf numFmtId="40" fontId="21" fillId="6" borderId="0" xfId="1" quotePrefix="1" applyNumberFormat="1" applyFont="1" applyFill="1" applyAlignment="1">
      <alignment horizontal="center" vertical="center"/>
    </xf>
    <xf numFmtId="38" fontId="25" fillId="6" borderId="0" xfId="1" applyFont="1" applyFill="1">
      <alignment vertical="center"/>
    </xf>
    <xf numFmtId="38" fontId="26" fillId="6" borderId="0" xfId="1" applyFont="1" applyFill="1" applyAlignment="1">
      <alignment horizontal="center" vertical="center"/>
    </xf>
    <xf numFmtId="38" fontId="21" fillId="6" borderId="0" xfId="1" quotePrefix="1" applyFont="1" applyFill="1" applyAlignment="1">
      <alignment horizontal="right" vertical="center"/>
    </xf>
    <xf numFmtId="0" fontId="0" fillId="6" borderId="0" xfId="0" applyFill="1" applyAlignment="1">
      <alignment vertical="center" shrinkToFit="1"/>
    </xf>
    <xf numFmtId="38" fontId="8" fillId="6" borderId="0" xfId="1" applyFont="1" applyFill="1" applyAlignment="1">
      <alignment vertical="top"/>
    </xf>
    <xf numFmtId="181" fontId="21" fillId="6" borderId="0" xfId="1" applyNumberFormat="1" applyFont="1" applyFill="1" applyAlignment="1">
      <alignment horizontal="center" vertical="center"/>
    </xf>
    <xf numFmtId="181" fontId="21" fillId="6" borderId="62" xfId="1" applyNumberFormat="1" applyFont="1" applyFill="1" applyBorder="1" applyAlignment="1">
      <alignment horizontal="center" vertical="center"/>
    </xf>
    <xf numFmtId="40" fontId="12" fillId="6" borderId="0" xfId="1" applyNumberFormat="1" applyFont="1" applyFill="1" applyBorder="1" applyAlignment="1">
      <alignment vertical="center" shrinkToFit="1"/>
    </xf>
    <xf numFmtId="40" fontId="0" fillId="6" borderId="0" xfId="0" applyNumberFormat="1" applyFill="1" applyBorder="1" applyAlignment="1">
      <alignment vertical="center" shrinkToFit="1"/>
    </xf>
    <xf numFmtId="38" fontId="21" fillId="6" borderId="0" xfId="1" applyFont="1" applyFill="1" applyAlignment="1">
      <alignment horizontal="right" vertical="center"/>
    </xf>
    <xf numFmtId="38" fontId="12" fillId="6" borderId="0" xfId="1" applyFont="1" applyFill="1" applyBorder="1" applyAlignment="1">
      <alignment vertical="center" shrinkToFit="1"/>
    </xf>
    <xf numFmtId="0" fontId="0" fillId="6" borderId="0" xfId="0" applyFill="1" applyBorder="1" applyAlignment="1">
      <alignment vertical="center" shrinkToFit="1"/>
    </xf>
    <xf numFmtId="38" fontId="28" fillId="6" borderId="0" xfId="1" applyFont="1" applyFill="1" applyBorder="1" applyAlignment="1">
      <alignment horizontal="left" vertical="center"/>
    </xf>
    <xf numFmtId="38" fontId="27" fillId="6" borderId="0" xfId="1" applyFont="1" applyFill="1">
      <alignment vertical="center"/>
    </xf>
    <xf numFmtId="38" fontId="21" fillId="6" borderId="0" xfId="1" applyFont="1" applyFill="1" applyBorder="1" applyAlignment="1">
      <alignment vertical="center" shrinkToFit="1"/>
    </xf>
    <xf numFmtId="38" fontId="43" fillId="6" borderId="0" xfId="1" applyFont="1" applyFill="1">
      <alignment vertical="center"/>
    </xf>
    <xf numFmtId="38" fontId="20" fillId="6" borderId="0" xfId="1" applyFont="1" applyFill="1" applyBorder="1" applyAlignment="1">
      <alignment vertical="center"/>
    </xf>
    <xf numFmtId="38" fontId="49" fillId="6" borderId="105" xfId="1" applyFont="1" applyFill="1" applyBorder="1" applyAlignment="1">
      <alignment horizontal="center" vertical="center"/>
    </xf>
    <xf numFmtId="38" fontId="8" fillId="6" borderId="63" xfId="1" applyFont="1" applyFill="1" applyBorder="1">
      <alignment vertical="center"/>
    </xf>
    <xf numFmtId="38" fontId="8" fillId="6" borderId="35" xfId="1" applyFont="1" applyFill="1" applyBorder="1">
      <alignment vertical="center"/>
    </xf>
    <xf numFmtId="38" fontId="17" fillId="6" borderId="0" xfId="1" applyFont="1" applyFill="1" applyBorder="1">
      <alignment vertical="center"/>
    </xf>
    <xf numFmtId="38" fontId="8" fillId="6" borderId="64" xfId="1" applyFont="1" applyFill="1" applyBorder="1">
      <alignment vertical="center"/>
    </xf>
    <xf numFmtId="38" fontId="10" fillId="6" borderId="65" xfId="1" applyFont="1" applyFill="1" applyBorder="1">
      <alignment vertical="center"/>
    </xf>
    <xf numFmtId="38" fontId="10" fillId="6" borderId="0" xfId="1" applyFont="1" applyFill="1" applyBorder="1">
      <alignment vertical="center"/>
    </xf>
    <xf numFmtId="38" fontId="8" fillId="6" borderId="66" xfId="1" applyFont="1" applyFill="1" applyBorder="1">
      <alignment vertical="center"/>
    </xf>
    <xf numFmtId="38" fontId="8" fillId="6" borderId="65" xfId="1" applyFont="1" applyFill="1" applyBorder="1" applyAlignment="1">
      <alignment horizontal="right" vertical="center"/>
    </xf>
    <xf numFmtId="38" fontId="8" fillId="6" borderId="0" xfId="1" applyFont="1" applyFill="1" applyBorder="1" applyAlignment="1">
      <alignment horizontal="center" vertical="center"/>
    </xf>
    <xf numFmtId="40" fontId="13" fillId="6" borderId="65" xfId="1" applyNumberFormat="1" applyFont="1" applyFill="1" applyBorder="1" applyAlignment="1">
      <alignment horizontal="right" vertical="center"/>
    </xf>
    <xf numFmtId="38" fontId="9" fillId="6" borderId="38" xfId="1" applyFont="1" applyFill="1" applyBorder="1" applyAlignment="1">
      <alignment horizontal="center" vertical="center" shrinkToFit="1"/>
    </xf>
    <xf numFmtId="38" fontId="8" fillId="6" borderId="31" xfId="1" applyFont="1" applyFill="1" applyBorder="1" applyAlignment="1">
      <alignment horizontal="center" vertical="center" shrinkToFit="1"/>
    </xf>
    <xf numFmtId="38" fontId="8" fillId="6" borderId="32" xfId="1" applyFont="1" applyFill="1" applyBorder="1" applyAlignment="1">
      <alignment horizontal="center" vertical="center" shrinkToFit="1"/>
    </xf>
    <xf numFmtId="38" fontId="8" fillId="6" borderId="32" xfId="1" applyFont="1" applyFill="1" applyBorder="1" applyAlignment="1">
      <alignment horizontal="center" vertical="center"/>
    </xf>
    <xf numFmtId="38" fontId="19" fillId="6" borderId="67" xfId="1" applyNumberFormat="1" applyFont="1" applyFill="1" applyBorder="1" applyAlignment="1">
      <alignment horizontal="right" vertical="center" shrinkToFit="1"/>
    </xf>
    <xf numFmtId="38" fontId="15" fillId="6" borderId="37" xfId="1" applyFont="1" applyFill="1" applyBorder="1" applyAlignment="1">
      <alignment horizontal="center" vertical="center" shrinkToFit="1"/>
    </xf>
    <xf numFmtId="40" fontId="14" fillId="6" borderId="67" xfId="1" applyNumberFormat="1" applyFont="1" applyFill="1" applyBorder="1" applyAlignment="1">
      <alignment horizontal="right" vertical="center"/>
    </xf>
    <xf numFmtId="38" fontId="9" fillId="6" borderId="0" xfId="1" applyFont="1" applyFill="1" applyBorder="1" applyAlignment="1">
      <alignment horizontal="center" vertical="center" shrinkToFit="1"/>
    </xf>
    <xf numFmtId="38" fontId="8" fillId="6" borderId="0" xfId="1" applyFont="1" applyFill="1" applyBorder="1" applyAlignment="1">
      <alignment vertical="center" shrinkToFit="1"/>
    </xf>
    <xf numFmtId="40" fontId="13" fillId="6" borderId="67" xfId="1" applyNumberFormat="1" applyFont="1" applyFill="1" applyBorder="1" applyAlignment="1">
      <alignment horizontal="right" vertical="center"/>
    </xf>
    <xf numFmtId="38" fontId="8" fillId="6" borderId="92" xfId="1" applyFont="1" applyFill="1" applyBorder="1" applyAlignment="1">
      <alignment horizontal="center" vertical="center" shrinkToFit="1"/>
    </xf>
    <xf numFmtId="38" fontId="8" fillId="6" borderId="42" xfId="1" applyFont="1" applyFill="1" applyBorder="1" applyAlignment="1">
      <alignment horizontal="center" vertical="center" shrinkToFit="1"/>
    </xf>
    <xf numFmtId="38" fontId="11" fillId="6" borderId="1" xfId="1" applyFont="1" applyFill="1" applyBorder="1" applyAlignment="1">
      <alignment horizontal="center" vertical="center" shrinkToFit="1"/>
    </xf>
    <xf numFmtId="40" fontId="11" fillId="6" borderId="7" xfId="1" applyNumberFormat="1" applyFont="1" applyFill="1" applyBorder="1" applyAlignment="1">
      <alignment vertical="center" shrinkToFit="1"/>
    </xf>
    <xf numFmtId="38" fontId="8" fillId="6" borderId="0" xfId="1" applyFont="1" applyFill="1" applyBorder="1" applyAlignment="1">
      <alignment horizontal="left" vertical="center"/>
    </xf>
    <xf numFmtId="38" fontId="8" fillId="6" borderId="34" xfId="1" applyFont="1" applyFill="1" applyBorder="1" applyAlignment="1">
      <alignment horizontal="center" vertical="center" shrinkToFit="1"/>
    </xf>
    <xf numFmtId="38" fontId="8" fillId="6" borderId="0" xfId="1" applyFont="1" applyFill="1" applyBorder="1" applyAlignment="1">
      <alignment horizontal="center" vertical="center" shrinkToFit="1"/>
    </xf>
    <xf numFmtId="38" fontId="8" fillId="6" borderId="65" xfId="1" applyFont="1" applyFill="1" applyBorder="1">
      <alignment vertical="center"/>
    </xf>
    <xf numFmtId="0" fontId="8" fillId="6" borderId="40" xfId="1" applyNumberFormat="1" applyFont="1" applyFill="1" applyBorder="1">
      <alignment vertical="center"/>
    </xf>
    <xf numFmtId="38" fontId="8" fillId="6" borderId="68" xfId="1" applyFont="1" applyFill="1" applyBorder="1">
      <alignment vertical="center"/>
    </xf>
    <xf numFmtId="38" fontId="8" fillId="6" borderId="36" xfId="1" applyFont="1" applyFill="1" applyBorder="1">
      <alignment vertical="center"/>
    </xf>
    <xf numFmtId="38" fontId="35" fillId="6" borderId="0" xfId="1" applyFont="1" applyFill="1" applyBorder="1">
      <alignment vertical="center"/>
    </xf>
    <xf numFmtId="38" fontId="8" fillId="6" borderId="8" xfId="1" applyFont="1" applyFill="1" applyBorder="1" applyAlignment="1">
      <alignment horizontal="center" vertical="center"/>
    </xf>
    <xf numFmtId="38" fontId="8" fillId="6" borderId="90" xfId="1" applyFont="1" applyFill="1" applyBorder="1" applyAlignment="1">
      <alignment horizontal="center" vertical="center"/>
    </xf>
    <xf numFmtId="38" fontId="8" fillId="6" borderId="89" xfId="1" applyFont="1" applyFill="1" applyBorder="1" applyAlignment="1">
      <alignment horizontal="center" vertical="center"/>
    </xf>
    <xf numFmtId="38" fontId="8" fillId="6" borderId="11" xfId="1" applyFont="1" applyFill="1" applyBorder="1" applyAlignment="1">
      <alignment horizontal="center" vertical="center"/>
    </xf>
    <xf numFmtId="38" fontId="8" fillId="6" borderId="39" xfId="1" applyFont="1" applyFill="1" applyBorder="1" applyAlignment="1">
      <alignment horizontal="center" vertical="center"/>
    </xf>
    <xf numFmtId="38" fontId="8" fillId="6" borderId="91" xfId="1" applyFont="1" applyFill="1" applyBorder="1" applyAlignment="1">
      <alignment horizontal="center" vertical="center"/>
    </xf>
    <xf numFmtId="38" fontId="8" fillId="6" borderId="66" xfId="1" applyFont="1" applyFill="1" applyBorder="1" applyAlignment="1">
      <alignment horizontal="center" vertical="center"/>
    </xf>
    <xf numFmtId="0" fontId="0" fillId="6" borderId="0" xfId="0" applyFill="1">
      <alignment vertical="center"/>
    </xf>
    <xf numFmtId="38" fontId="8" fillId="6" borderId="69" xfId="1" applyFont="1" applyFill="1" applyBorder="1">
      <alignment vertical="center"/>
    </xf>
    <xf numFmtId="38" fontId="8" fillId="2" borderId="27" xfId="1" applyFont="1" applyFill="1" applyBorder="1" applyAlignment="1" applyProtection="1">
      <alignment vertical="center" shrinkToFit="1"/>
      <protection locked="0"/>
    </xf>
    <xf numFmtId="38" fontId="8" fillId="2" borderId="28" xfId="1" applyFont="1" applyFill="1" applyBorder="1" applyAlignment="1" applyProtection="1">
      <alignment vertical="center" shrinkToFit="1"/>
      <protection locked="0"/>
    </xf>
    <xf numFmtId="38" fontId="8" fillId="2" borderId="93" xfId="1" applyFont="1" applyFill="1" applyBorder="1" applyAlignment="1" applyProtection="1">
      <alignment vertical="center" shrinkToFit="1"/>
      <protection locked="0"/>
    </xf>
    <xf numFmtId="40" fontId="8" fillId="2" borderId="42" xfId="1" applyNumberFormat="1" applyFont="1" applyFill="1" applyBorder="1" applyAlignment="1" applyProtection="1">
      <alignment vertical="center" shrinkToFit="1"/>
      <protection locked="0"/>
    </xf>
    <xf numFmtId="38" fontId="8" fillId="2" borderId="30" xfId="1" applyFont="1" applyFill="1" applyBorder="1" applyAlignment="1" applyProtection="1">
      <alignment vertical="center" shrinkToFit="1"/>
      <protection locked="0"/>
    </xf>
    <xf numFmtId="0" fontId="8" fillId="2" borderId="41" xfId="1" applyNumberFormat="1" applyFont="1" applyFill="1" applyBorder="1" applyAlignment="1" applyProtection="1">
      <alignment horizontal="center" vertical="center"/>
      <protection locked="0"/>
    </xf>
    <xf numFmtId="38" fontId="17" fillId="2" borderId="0" xfId="1" applyFont="1" applyFill="1" applyBorder="1">
      <alignment vertical="center"/>
    </xf>
    <xf numFmtId="38" fontId="26" fillId="6" borderId="0" xfId="1" applyFont="1" applyFill="1" applyBorder="1" applyAlignment="1">
      <alignment vertical="center" wrapText="1"/>
    </xf>
    <xf numFmtId="0" fontId="3" fillId="6" borderId="0" xfId="0" applyFont="1" applyFill="1" applyAlignment="1">
      <alignment vertical="center" wrapText="1"/>
    </xf>
    <xf numFmtId="40" fontId="12" fillId="6" borderId="54" xfId="1" applyNumberFormat="1" applyFont="1" applyFill="1" applyBorder="1" applyAlignment="1">
      <alignment vertical="center" shrinkToFit="1"/>
    </xf>
    <xf numFmtId="40" fontId="0" fillId="6" borderId="55" xfId="0" applyNumberFormat="1" applyFill="1" applyBorder="1" applyAlignment="1">
      <alignment vertical="center" shrinkToFit="1"/>
    </xf>
    <xf numFmtId="40" fontId="0" fillId="6" borderId="56" xfId="0" applyNumberFormat="1" applyFill="1" applyBorder="1" applyAlignment="1">
      <alignment vertical="center" shrinkToFit="1"/>
    </xf>
    <xf numFmtId="40" fontId="12" fillId="6" borderId="55" xfId="1" applyNumberFormat="1" applyFont="1" applyFill="1" applyBorder="1" applyAlignment="1">
      <alignment vertical="center" shrinkToFit="1"/>
    </xf>
    <xf numFmtId="40" fontId="12" fillId="6" borderId="56" xfId="1" applyNumberFormat="1" applyFont="1" applyFill="1" applyBorder="1" applyAlignment="1">
      <alignment vertical="center" shrinkToFit="1"/>
    </xf>
    <xf numFmtId="40" fontId="21" fillId="6" borderId="62" xfId="1" quotePrefix="1" applyNumberFormat="1" applyFont="1" applyFill="1" applyBorder="1" applyAlignment="1">
      <alignment horizontal="center" vertical="center"/>
    </xf>
    <xf numFmtId="40" fontId="0" fillId="6" borderId="0" xfId="0" applyNumberFormat="1" applyFill="1" applyAlignment="1">
      <alignment vertical="center"/>
    </xf>
    <xf numFmtId="180" fontId="12" fillId="0" borderId="75" xfId="1" applyNumberFormat="1" applyFont="1" applyBorder="1" applyAlignment="1">
      <alignment vertical="center" shrinkToFit="1"/>
    </xf>
    <xf numFmtId="180" fontId="0" fillId="0" borderId="76" xfId="0" applyNumberFormat="1" applyBorder="1" applyAlignment="1">
      <alignment vertical="center" shrinkToFit="1"/>
    </xf>
    <xf numFmtId="180" fontId="0" fillId="0" borderId="77" xfId="0" applyNumberFormat="1" applyBorder="1" applyAlignment="1">
      <alignment vertical="center" shrinkToFit="1"/>
    </xf>
    <xf numFmtId="40" fontId="8" fillId="6" borderId="62" xfId="1" applyNumberFormat="1" applyFont="1" applyFill="1" applyBorder="1" applyAlignment="1">
      <alignment horizontal="center" vertical="center" shrinkToFit="1"/>
    </xf>
    <xf numFmtId="40" fontId="0" fillId="6" borderId="0" xfId="0" applyNumberFormat="1" applyFill="1" applyAlignment="1">
      <alignment horizontal="center" vertical="center" shrinkToFit="1"/>
    </xf>
    <xf numFmtId="0" fontId="0" fillId="6" borderId="45" xfId="0" applyFill="1" applyBorder="1" applyAlignment="1">
      <alignment horizontal="center" vertical="center"/>
    </xf>
    <xf numFmtId="40" fontId="12" fillId="6" borderId="47" xfId="1" applyNumberFormat="1" applyFont="1" applyFill="1" applyBorder="1" applyAlignment="1">
      <alignment vertical="center" shrinkToFit="1"/>
    </xf>
    <xf numFmtId="40" fontId="0" fillId="6" borderId="48" xfId="0" applyNumberFormat="1" applyFill="1" applyBorder="1" applyAlignment="1">
      <alignment vertical="center" shrinkToFit="1"/>
    </xf>
    <xf numFmtId="40" fontId="0" fillId="6" borderId="49" xfId="0" applyNumberFormat="1" applyFill="1" applyBorder="1" applyAlignment="1">
      <alignment vertical="center" shrinkToFit="1"/>
    </xf>
    <xf numFmtId="181" fontId="12" fillId="0" borderId="72" xfId="1" applyNumberFormat="1" applyFont="1" applyBorder="1" applyAlignment="1">
      <alignment vertical="center" shrinkToFit="1"/>
    </xf>
    <xf numFmtId="181" fontId="0" fillId="0" borderId="73" xfId="0" applyNumberFormat="1" applyBorder="1" applyAlignment="1">
      <alignment vertical="center" shrinkToFit="1"/>
    </xf>
    <xf numFmtId="181" fontId="0" fillId="0" borderId="74" xfId="0" applyNumberFormat="1" applyBorder="1" applyAlignment="1">
      <alignment vertical="center" shrinkToFit="1"/>
    </xf>
    <xf numFmtId="180" fontId="12" fillId="0" borderId="72" xfId="1" applyNumberFormat="1" applyFont="1" applyBorder="1" applyAlignment="1">
      <alignment vertical="center" shrinkToFit="1"/>
    </xf>
    <xf numFmtId="180" fontId="0" fillId="0" borderId="73" xfId="0" applyNumberFormat="1" applyBorder="1" applyAlignment="1">
      <alignment vertical="center" shrinkToFit="1"/>
    </xf>
    <xf numFmtId="180" fontId="0" fillId="0" borderId="74" xfId="0" applyNumberFormat="1" applyBorder="1" applyAlignment="1">
      <alignment vertical="center" shrinkToFit="1"/>
    </xf>
    <xf numFmtId="38" fontId="21" fillId="6" borderId="0" xfId="1" applyFon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40" fontId="21" fillId="6" borderId="62" xfId="1" applyNumberFormat="1" applyFont="1" applyFill="1" applyBorder="1" applyAlignment="1">
      <alignment horizontal="center" vertical="center"/>
    </xf>
    <xf numFmtId="40" fontId="21" fillId="6" borderId="85" xfId="1" applyNumberFormat="1" applyFont="1" applyFill="1" applyBorder="1" applyAlignment="1">
      <alignment horizontal="center" vertical="center"/>
    </xf>
    <xf numFmtId="40" fontId="12" fillId="0" borderId="50" xfId="1" applyNumberFormat="1" applyFont="1" applyBorder="1" applyAlignment="1">
      <alignment vertical="center" shrinkToFit="1"/>
    </xf>
    <xf numFmtId="40" fontId="0" fillId="0" borderId="51" xfId="0" applyNumberFormat="1" applyBorder="1" applyAlignment="1">
      <alignment vertical="center" shrinkToFit="1"/>
    </xf>
    <xf numFmtId="40" fontId="0" fillId="0" borderId="52" xfId="0" applyNumberFormat="1" applyBorder="1" applyAlignment="1">
      <alignment vertical="center" shrinkToFit="1"/>
    </xf>
    <xf numFmtId="180" fontId="12" fillId="0" borderId="78" xfId="1" applyNumberFormat="1" applyFont="1" applyBorder="1" applyAlignment="1">
      <alignment vertical="center" shrinkToFit="1"/>
    </xf>
    <xf numFmtId="180" fontId="0" fillId="0" borderId="79" xfId="0" applyNumberFormat="1" applyBorder="1" applyAlignment="1">
      <alignment vertical="center" shrinkToFit="1"/>
    </xf>
    <xf numFmtId="180" fontId="0" fillId="0" borderId="80" xfId="0" applyNumberFormat="1" applyBorder="1" applyAlignment="1">
      <alignment vertical="center" shrinkToFit="1"/>
    </xf>
    <xf numFmtId="180" fontId="12" fillId="0" borderId="43" xfId="1" applyNumberFormat="1" applyFont="1" applyBorder="1" applyAlignment="1">
      <alignment vertical="center" shrinkToFit="1"/>
    </xf>
    <xf numFmtId="180" fontId="0" fillId="0" borderId="81" xfId="0" applyNumberFormat="1" applyBorder="1" applyAlignment="1">
      <alignment vertical="center" shrinkToFit="1"/>
    </xf>
    <xf numFmtId="180" fontId="0" fillId="0" borderId="44" xfId="0" applyNumberFormat="1" applyBorder="1" applyAlignment="1">
      <alignment vertical="center" shrinkToFit="1"/>
    </xf>
    <xf numFmtId="40" fontId="21" fillId="6" borderId="45" xfId="1" applyNumberFormat="1" applyFont="1" applyFill="1" applyBorder="1" applyAlignment="1">
      <alignment horizontal="center" vertical="center"/>
    </xf>
    <xf numFmtId="40" fontId="12" fillId="6" borderId="48" xfId="1" applyNumberFormat="1" applyFont="1" applyFill="1" applyBorder="1" applyAlignment="1">
      <alignment vertical="center" shrinkToFit="1"/>
    </xf>
    <xf numFmtId="40" fontId="12" fillId="6" borderId="49" xfId="1" applyNumberFormat="1" applyFont="1" applyFill="1" applyBorder="1" applyAlignment="1">
      <alignment vertical="center" shrinkToFit="1"/>
    </xf>
    <xf numFmtId="40" fontId="12" fillId="0" borderId="82" xfId="1" applyNumberFormat="1" applyFont="1" applyBorder="1" applyAlignment="1">
      <alignment vertical="center" shrinkToFit="1"/>
    </xf>
    <xf numFmtId="40" fontId="0" fillId="0" borderId="83" xfId="0" applyNumberFormat="1" applyBorder="1" applyAlignment="1">
      <alignment vertical="center" shrinkToFit="1"/>
    </xf>
    <xf numFmtId="40" fontId="0" fillId="0" borderId="84" xfId="0" applyNumberFormat="1" applyBorder="1" applyAlignment="1">
      <alignment vertical="center" shrinkToFit="1"/>
    </xf>
    <xf numFmtId="182" fontId="12" fillId="2" borderId="47" xfId="1" applyNumberFormat="1" applyFont="1" applyFill="1" applyBorder="1" applyAlignment="1">
      <alignment vertical="center" shrinkToFit="1"/>
    </xf>
    <xf numFmtId="182" fontId="0" fillId="2" borderId="48" xfId="0" applyNumberFormat="1" applyFill="1" applyBorder="1" applyAlignment="1">
      <alignment vertical="center" shrinkToFit="1"/>
    </xf>
    <xf numFmtId="182" fontId="0" fillId="2" borderId="49" xfId="0" applyNumberFormat="1" applyFill="1" applyBorder="1" applyAlignment="1">
      <alignment vertical="center" shrinkToFit="1"/>
    </xf>
    <xf numFmtId="40" fontId="12" fillId="0" borderId="75" xfId="1" applyNumberFormat="1" applyFont="1" applyBorder="1" applyAlignment="1">
      <alignment vertical="center" shrinkToFit="1"/>
    </xf>
    <xf numFmtId="40" fontId="0" fillId="0" borderId="76" xfId="0" applyNumberFormat="1" applyBorder="1" applyAlignment="1">
      <alignment vertical="center" shrinkToFit="1"/>
    </xf>
    <xf numFmtId="40" fontId="0" fillId="0" borderId="77" xfId="0" applyNumberFormat="1" applyBorder="1" applyAlignment="1">
      <alignment vertical="center" shrinkToFit="1"/>
    </xf>
    <xf numFmtId="38" fontId="21" fillId="6" borderId="62" xfId="1" applyFont="1" applyFill="1" applyBorder="1" applyAlignment="1">
      <alignment horizontal="center" vertical="center" shrinkToFit="1"/>
    </xf>
    <xf numFmtId="0" fontId="0" fillId="6" borderId="0" xfId="0" applyFill="1" applyAlignment="1">
      <alignment horizontal="center" vertical="center" shrinkToFit="1"/>
    </xf>
    <xf numFmtId="0" fontId="0" fillId="6" borderId="0" xfId="0" applyFill="1" applyBorder="1" applyAlignment="1">
      <alignment horizontal="center" vertical="center" shrinkToFit="1"/>
    </xf>
    <xf numFmtId="0" fontId="0" fillId="6" borderId="0" xfId="0" applyFill="1" applyAlignment="1">
      <alignment vertical="center"/>
    </xf>
    <xf numFmtId="0" fontId="0" fillId="6" borderId="45" xfId="0" applyFill="1" applyBorder="1" applyAlignment="1">
      <alignment vertical="center"/>
    </xf>
    <xf numFmtId="181" fontId="21" fillId="6" borderId="62" xfId="1" applyNumberFormat="1" applyFont="1" applyFill="1" applyBorder="1" applyAlignment="1">
      <alignment horizontal="center" vertical="center"/>
    </xf>
    <xf numFmtId="0" fontId="0" fillId="6" borderId="85" xfId="0" applyFill="1" applyBorder="1" applyAlignment="1">
      <alignment vertical="center"/>
    </xf>
    <xf numFmtId="38" fontId="39" fillId="0" borderId="0" xfId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38" fontId="25" fillId="6" borderId="0" xfId="1" applyFont="1" applyFill="1" applyAlignment="1">
      <alignment vertical="center" wrapText="1"/>
    </xf>
    <xf numFmtId="181" fontId="21" fillId="6" borderId="0" xfId="1" applyNumberFormat="1" applyFont="1" applyFill="1" applyBorder="1" applyAlignment="1">
      <alignment horizontal="center" vertical="center"/>
    </xf>
    <xf numFmtId="40" fontId="12" fillId="0" borderId="78" xfId="1" applyNumberFormat="1" applyFont="1" applyBorder="1" applyAlignment="1">
      <alignment vertical="center" shrinkToFit="1"/>
    </xf>
    <xf numFmtId="40" fontId="12" fillId="0" borderId="79" xfId="1" applyNumberFormat="1" applyFont="1" applyBorder="1" applyAlignment="1">
      <alignment vertical="center" shrinkToFit="1"/>
    </xf>
    <xf numFmtId="40" fontId="12" fillId="0" borderId="80" xfId="1" applyNumberFormat="1" applyFont="1" applyBorder="1" applyAlignment="1">
      <alignment vertical="center" shrinkToFit="1"/>
    </xf>
    <xf numFmtId="40" fontId="35" fillId="0" borderId="86" xfId="1" applyNumberFormat="1" applyFont="1" applyBorder="1" applyAlignment="1">
      <alignment vertical="center" shrinkToFit="1"/>
    </xf>
    <xf numFmtId="40" fontId="37" fillId="0" borderId="87" xfId="0" applyNumberFormat="1" applyFont="1" applyBorder="1" applyAlignment="1">
      <alignment vertical="center" shrinkToFit="1"/>
    </xf>
    <xf numFmtId="40" fontId="37" fillId="0" borderId="88" xfId="0" applyNumberFormat="1" applyFont="1" applyBorder="1" applyAlignment="1">
      <alignment vertical="center" shrinkToFit="1"/>
    </xf>
    <xf numFmtId="0" fontId="0" fillId="6" borderId="85" xfId="0" applyFill="1" applyBorder="1" applyAlignment="1">
      <alignment horizontal="center" vertical="center"/>
    </xf>
    <xf numFmtId="38" fontId="21" fillId="6" borderId="0" xfId="1" quotePrefix="1" applyFont="1" applyFill="1" applyAlignment="1">
      <alignment horizontal="center" vertical="center"/>
    </xf>
    <xf numFmtId="40" fontId="12" fillId="0" borderId="54" xfId="1" applyNumberFormat="1" applyFont="1" applyBorder="1" applyAlignment="1">
      <alignment vertical="center" shrinkToFit="1"/>
    </xf>
    <xf numFmtId="40" fontId="0" fillId="0" borderId="55" xfId="0" applyNumberFormat="1" applyBorder="1" applyAlignment="1">
      <alignment vertical="center" shrinkToFit="1"/>
    </xf>
    <xf numFmtId="40" fontId="0" fillId="0" borderId="56" xfId="0" applyNumberFormat="1" applyBorder="1" applyAlignment="1">
      <alignment vertical="center" shrinkToFit="1"/>
    </xf>
    <xf numFmtId="38" fontId="21" fillId="6" borderId="62" xfId="1" applyFont="1" applyFill="1" applyBorder="1" applyAlignment="1">
      <alignment vertical="center"/>
    </xf>
    <xf numFmtId="38" fontId="41" fillId="0" borderId="63" xfId="1" applyFont="1" applyBorder="1" applyAlignment="1">
      <alignment vertical="center"/>
    </xf>
    <xf numFmtId="0" fontId="42" fillId="0" borderId="35" xfId="0" applyFont="1" applyBorder="1" applyAlignment="1">
      <alignment vertical="center"/>
    </xf>
    <xf numFmtId="0" fontId="42" fillId="0" borderId="64" xfId="0" applyFont="1" applyBorder="1" applyAlignment="1">
      <alignment vertical="center"/>
    </xf>
    <xf numFmtId="0" fontId="42" fillId="0" borderId="65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66" xfId="0" applyFont="1" applyBorder="1" applyAlignment="1">
      <alignment vertical="center"/>
    </xf>
    <xf numFmtId="0" fontId="42" fillId="0" borderId="68" xfId="0" applyFont="1" applyBorder="1" applyAlignment="1">
      <alignment vertical="center"/>
    </xf>
    <xf numFmtId="0" fontId="42" fillId="0" borderId="36" xfId="0" applyFont="1" applyBorder="1" applyAlignment="1">
      <alignment vertical="center"/>
    </xf>
    <xf numFmtId="0" fontId="42" fillId="0" borderId="69" xfId="0" applyFont="1" applyBorder="1" applyAlignment="1">
      <alignment vertical="center"/>
    </xf>
    <xf numFmtId="38" fontId="8" fillId="0" borderId="97" xfId="1" applyFont="1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38" fontId="8" fillId="0" borderId="95" xfId="1" applyFon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38" fontId="11" fillId="0" borderId="0" xfId="1" applyFont="1" applyAlignment="1">
      <alignment vertical="center" shrinkToFit="1"/>
    </xf>
    <xf numFmtId="49" fontId="50" fillId="6" borderId="105" xfId="1" quotePrefix="1" applyNumberFormat="1" applyFont="1" applyFill="1" applyBorder="1" applyAlignment="1">
      <alignment vertical="center"/>
    </xf>
    <xf numFmtId="0" fontId="48" fillId="6" borderId="105" xfId="0" applyFont="1" applyFill="1" applyBorder="1" applyAlignment="1">
      <alignment vertical="center"/>
    </xf>
    <xf numFmtId="38" fontId="11" fillId="0" borderId="0" xfId="1" applyFont="1" applyAlignment="1">
      <alignment horizontal="right" vertical="center" shrinkToFit="1"/>
    </xf>
    <xf numFmtId="38" fontId="21" fillId="0" borderId="0" xfId="1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38" fontId="21" fillId="0" borderId="0" xfId="1" applyFont="1" applyAlignment="1">
      <alignment horizontal="center" vertical="center"/>
    </xf>
    <xf numFmtId="38" fontId="21" fillId="0" borderId="62" xfId="1" quotePrefix="1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0" fillId="0" borderId="85" xfId="0" applyBorder="1" applyAlignment="1">
      <alignment horizontal="right" vertical="center" shrinkToFit="1"/>
    </xf>
    <xf numFmtId="38" fontId="21" fillId="0" borderId="101" xfId="1" quotePrefix="1" applyFont="1" applyBorder="1" applyAlignment="1">
      <alignment horizontal="right" vertical="center" shrinkToFit="1"/>
    </xf>
    <xf numFmtId="0" fontId="0" fillId="0" borderId="102" xfId="0" applyBorder="1" applyAlignment="1">
      <alignment horizontal="right" vertical="center" shrinkToFit="1"/>
    </xf>
    <xf numFmtId="0" fontId="47" fillId="0" borderId="79" xfId="0" applyFont="1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103" xfId="0" applyBorder="1" applyAlignment="1">
      <alignment horizontal="right" vertical="center" shrinkToFit="1"/>
    </xf>
    <xf numFmtId="38" fontId="21" fillId="0" borderId="0" xfId="1" quotePrefix="1" applyFont="1" applyBorder="1" applyAlignment="1">
      <alignment horizontal="right" vertical="center" shrinkToFit="1"/>
    </xf>
    <xf numFmtId="0" fontId="0" fillId="0" borderId="0" xfId="0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40" fontId="0" fillId="0" borderId="1" xfId="1" applyNumberFormat="1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40" fontId="0" fillId="0" borderId="7" xfId="1" applyNumberFormat="1" applyFont="1" applyFill="1" applyBorder="1" applyAlignment="1">
      <alignment vertical="center"/>
    </xf>
    <xf numFmtId="40" fontId="24" fillId="0" borderId="13" xfId="1" applyNumberFormat="1" applyFont="1" applyFill="1" applyBorder="1" applyAlignment="1" applyProtection="1">
      <alignment vertical="center"/>
      <protection locked="0"/>
    </xf>
    <xf numFmtId="40" fontId="24" fillId="0" borderId="14" xfId="1" applyNumberFormat="1" applyFont="1" applyFill="1" applyBorder="1" applyAlignment="1" applyProtection="1">
      <alignment vertical="center"/>
      <protection locked="0"/>
    </xf>
    <xf numFmtId="40" fontId="0" fillId="0" borderId="1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8" fontId="24" fillId="0" borderId="17" xfId="1" applyFont="1" applyFill="1" applyBorder="1" applyAlignment="1" applyProtection="1">
      <alignment vertical="center"/>
      <protection locked="0"/>
    </xf>
    <xf numFmtId="38" fontId="24" fillId="0" borderId="18" xfId="1" applyFont="1" applyFill="1" applyBorder="1" applyAlignment="1" applyProtection="1">
      <alignment vertical="center"/>
      <protection locked="0"/>
    </xf>
    <xf numFmtId="38" fontId="24" fillId="0" borderId="19" xfId="0" applyNumberFormat="1" applyFont="1" applyBorder="1" applyAlignment="1">
      <alignment vertical="center"/>
    </xf>
    <xf numFmtId="0" fontId="24" fillId="0" borderId="20" xfId="0" applyNumberFormat="1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8" fontId="0" fillId="2" borderId="19" xfId="1" applyFont="1" applyFill="1" applyBorder="1" applyAlignment="1" applyProtection="1">
      <alignment vertical="center"/>
      <protection locked="0"/>
    </xf>
    <xf numFmtId="38" fontId="0" fillId="2" borderId="20" xfId="1" applyFont="1" applyFill="1" applyBorder="1" applyAlignment="1" applyProtection="1">
      <alignment vertical="center"/>
      <protection locked="0"/>
    </xf>
    <xf numFmtId="38" fontId="0" fillId="2" borderId="21" xfId="1" applyFont="1" applyFill="1" applyBorder="1" applyAlignment="1" applyProtection="1">
      <alignment vertical="center"/>
      <protection locked="0"/>
    </xf>
    <xf numFmtId="38" fontId="0" fillId="2" borderId="22" xfId="1" applyFont="1" applyFill="1" applyBorder="1" applyAlignment="1" applyProtection="1">
      <alignment vertical="center"/>
      <protection locked="0"/>
    </xf>
    <xf numFmtId="38" fontId="0" fillId="0" borderId="1" xfId="1" applyFont="1" applyBorder="1" applyAlignment="1">
      <alignment vertical="center"/>
    </xf>
    <xf numFmtId="38" fontId="24" fillId="0" borderId="23" xfId="1" applyFont="1" applyFill="1" applyBorder="1" applyAlignment="1" applyProtection="1">
      <alignment vertical="center"/>
      <protection locked="0"/>
    </xf>
    <xf numFmtId="38" fontId="24" fillId="0" borderId="24" xfId="1" applyFont="1" applyFill="1" applyBorder="1" applyAlignment="1" applyProtection="1">
      <alignment vertical="center"/>
      <protection locked="0"/>
    </xf>
    <xf numFmtId="40" fontId="24" fillId="0" borderId="25" xfId="1" applyNumberFormat="1" applyFont="1" applyFill="1" applyBorder="1" applyAlignment="1" applyProtection="1">
      <alignment vertical="center"/>
      <protection locked="0"/>
    </xf>
    <xf numFmtId="40" fontId="24" fillId="0" borderId="26" xfId="1" applyNumberFormat="1" applyFont="1" applyFill="1" applyBorder="1" applyAlignment="1" applyProtection="1">
      <alignment vertical="center"/>
      <protection locked="0"/>
    </xf>
    <xf numFmtId="177" fontId="0" fillId="0" borderId="2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38" fontId="0" fillId="0" borderId="11" xfId="1" applyFont="1" applyFill="1" applyBorder="1" applyAlignment="1">
      <alignment vertical="center"/>
    </xf>
    <xf numFmtId="38" fontId="0" fillId="0" borderId="12" xfId="1" applyFont="1" applyFill="1" applyBorder="1" applyAlignment="1">
      <alignment vertical="center"/>
    </xf>
    <xf numFmtId="0" fontId="0" fillId="0" borderId="0" xfId="0" applyAlignment="1">
      <alignment vertical="center" shrinkToFit="1"/>
    </xf>
    <xf numFmtId="40" fontId="0" fillId="0" borderId="0" xfId="1" applyNumberFormat="1" applyFont="1" applyAlignment="1">
      <alignment vertical="center"/>
    </xf>
    <xf numFmtId="40" fontId="0" fillId="0" borderId="2" xfId="0" applyNumberFormat="1" applyBorder="1" applyAlignment="1">
      <alignment horizontal="right" vertical="center"/>
    </xf>
    <xf numFmtId="40" fontId="0" fillId="0" borderId="3" xfId="0" applyNumberFormat="1" applyBorder="1" applyAlignment="1">
      <alignment horizontal="right" vertical="center"/>
    </xf>
    <xf numFmtId="0" fontId="0" fillId="3" borderId="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38" fontId="0" fillId="3" borderId="2" xfId="0" applyNumberFormat="1" applyFill="1" applyBorder="1" applyAlignment="1">
      <alignment horizontal="right" vertical="center"/>
    </xf>
    <xf numFmtId="38" fontId="0" fillId="3" borderId="3" xfId="0" applyNumberFormat="1" applyFill="1" applyBorder="1" applyAlignment="1">
      <alignment horizontal="right" vertical="center"/>
    </xf>
    <xf numFmtId="0" fontId="0" fillId="3" borderId="3" xfId="0" applyFill="1" applyBorder="1" applyAlignment="1">
      <alignment horizontal="right" vertical="center"/>
    </xf>
    <xf numFmtId="40" fontId="0" fillId="0" borderId="0" xfId="0" applyNumberFormat="1" applyAlignment="1">
      <alignment vertical="center"/>
    </xf>
    <xf numFmtId="40" fontId="12" fillId="0" borderId="57" xfId="1" applyNumberFormat="1" applyFont="1" applyBorder="1" applyAlignment="1">
      <alignment vertical="center" shrinkToFit="1"/>
    </xf>
    <xf numFmtId="40" fontId="0" fillId="0" borderId="58" xfId="0" applyNumberFormat="1" applyBorder="1" applyAlignment="1">
      <alignment vertical="center" shrinkToFit="1"/>
    </xf>
    <xf numFmtId="40" fontId="0" fillId="0" borderId="59" xfId="0" applyNumberFormat="1" applyBorder="1" applyAlignment="1">
      <alignment vertical="center" shrinkToFit="1"/>
    </xf>
    <xf numFmtId="40" fontId="12" fillId="0" borderId="58" xfId="1" applyNumberFormat="1" applyFont="1" applyBorder="1" applyAlignment="1">
      <alignment vertical="center" shrinkToFit="1"/>
    </xf>
    <xf numFmtId="40" fontId="12" fillId="0" borderId="59" xfId="1" applyNumberFormat="1" applyFont="1" applyBorder="1" applyAlignment="1">
      <alignment vertical="center" shrinkToFit="1"/>
    </xf>
    <xf numFmtId="40" fontId="21" fillId="0" borderId="57" xfId="1" applyNumberFormat="1" applyFont="1" applyBorder="1" applyAlignment="1">
      <alignment horizontal="center" vertical="center" shrinkToFit="1"/>
    </xf>
    <xf numFmtId="40" fontId="12" fillId="0" borderId="57" xfId="1" applyNumberFormat="1" applyFont="1" applyFill="1" applyBorder="1" applyAlignment="1">
      <alignment vertical="center" shrinkToFit="1"/>
    </xf>
    <xf numFmtId="40" fontId="0" fillId="0" borderId="58" xfId="0" applyNumberFormat="1" applyFill="1" applyBorder="1" applyAlignment="1">
      <alignment vertical="center" shrinkToFit="1"/>
    </xf>
    <xf numFmtId="40" fontId="0" fillId="0" borderId="59" xfId="0" applyNumberFormat="1" applyFill="1" applyBorder="1" applyAlignment="1">
      <alignment vertical="center" shrinkToFit="1"/>
    </xf>
    <xf numFmtId="40" fontId="21" fillId="0" borderId="0" xfId="1" quotePrefix="1" applyNumberFormat="1" applyFont="1" applyAlignment="1">
      <alignment horizontal="left" vertical="center" shrinkToFit="1"/>
    </xf>
    <xf numFmtId="40" fontId="0" fillId="0" borderId="0" xfId="0" applyNumberFormat="1" applyAlignment="1">
      <alignment horizontal="left" vertical="center" shrinkToFit="1"/>
    </xf>
    <xf numFmtId="40" fontId="0" fillId="0" borderId="61" xfId="0" applyNumberFormat="1" applyBorder="1" applyAlignment="1">
      <alignment horizontal="left" vertical="center" shrinkToFit="1"/>
    </xf>
    <xf numFmtId="40" fontId="21" fillId="0" borderId="0" xfId="1" applyNumberFormat="1" applyFont="1" applyAlignment="1">
      <alignment horizontal="center" vertical="center"/>
    </xf>
    <xf numFmtId="40" fontId="0" fillId="0" borderId="0" xfId="0" applyNumberFormat="1" applyAlignment="1">
      <alignment horizontal="center" vertical="center"/>
    </xf>
    <xf numFmtId="181" fontId="12" fillId="0" borderId="57" xfId="1" applyNumberFormat="1" applyFont="1" applyBorder="1" applyAlignment="1">
      <alignment vertical="center" shrinkToFit="1"/>
    </xf>
    <xf numFmtId="181" fontId="0" fillId="0" borderId="58" xfId="0" applyNumberFormat="1" applyBorder="1" applyAlignment="1">
      <alignment vertical="center" shrinkToFit="1"/>
    </xf>
    <xf numFmtId="181" fontId="0" fillId="0" borderId="59" xfId="0" applyNumberFormat="1" applyBorder="1" applyAlignment="1">
      <alignment vertical="center" shrinkToFit="1"/>
    </xf>
    <xf numFmtId="40" fontId="21" fillId="0" borderId="60" xfId="1" quotePrefix="1" applyNumberFormat="1" applyFont="1" applyBorder="1" applyAlignment="1">
      <alignment horizontal="center" vertical="center"/>
    </xf>
    <xf numFmtId="40" fontId="0" fillId="0" borderId="61" xfId="0" applyNumberFormat="1" applyBorder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6"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theme="0"/>
      </font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theme="0"/>
      </font>
      <numFmt numFmtId="0" formatCode="General"/>
    </dxf>
    <dxf>
      <fill>
        <patternFill>
          <bgColor rgb="FFCCFFFF"/>
        </patternFill>
      </fill>
    </dxf>
    <dxf>
      <fill>
        <patternFill>
          <bgColor rgb="FFCCFFFF"/>
        </patternFill>
      </fill>
    </dxf>
  </dxfs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9525</xdr:colOff>
      <xdr:row>30</xdr:row>
      <xdr:rowOff>104775</xdr:rowOff>
    </xdr:from>
    <xdr:to>
      <xdr:col>24</xdr:col>
      <xdr:colOff>257175</xdr:colOff>
      <xdr:row>30</xdr:row>
      <xdr:rowOff>104776</xdr:rowOff>
    </xdr:to>
    <xdr:cxnSp macro="">
      <xdr:nvCxnSpPr>
        <xdr:cNvPr id="2" name="直線矢印コネクタ 1"/>
        <xdr:cNvCxnSpPr/>
      </xdr:nvCxnSpPr>
      <xdr:spPr>
        <a:xfrm>
          <a:off x="6362700" y="5229225"/>
          <a:ext cx="523875" cy="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9525</xdr:colOff>
      <xdr:row>30</xdr:row>
      <xdr:rowOff>104775</xdr:rowOff>
    </xdr:from>
    <xdr:to>
      <xdr:col>24</xdr:col>
      <xdr:colOff>257175</xdr:colOff>
      <xdr:row>30</xdr:row>
      <xdr:rowOff>104776</xdr:rowOff>
    </xdr:to>
    <xdr:cxnSp macro="">
      <xdr:nvCxnSpPr>
        <xdr:cNvPr id="3" name="直線矢印コネクタ 2"/>
        <xdr:cNvCxnSpPr/>
      </xdr:nvCxnSpPr>
      <xdr:spPr>
        <a:xfrm>
          <a:off x="6362700" y="5229225"/>
          <a:ext cx="523875" cy="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9525</xdr:colOff>
      <xdr:row>30</xdr:row>
      <xdr:rowOff>104775</xdr:rowOff>
    </xdr:from>
    <xdr:to>
      <xdr:col>24</xdr:col>
      <xdr:colOff>257175</xdr:colOff>
      <xdr:row>30</xdr:row>
      <xdr:rowOff>104776</xdr:rowOff>
    </xdr:to>
    <xdr:cxnSp macro="">
      <xdr:nvCxnSpPr>
        <xdr:cNvPr id="7" name="直線矢印コネクタ 6"/>
        <xdr:cNvCxnSpPr/>
      </xdr:nvCxnSpPr>
      <xdr:spPr>
        <a:xfrm>
          <a:off x="7191375" y="3724275"/>
          <a:ext cx="523875" cy="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9525</xdr:colOff>
      <xdr:row>30</xdr:row>
      <xdr:rowOff>104775</xdr:rowOff>
    </xdr:from>
    <xdr:to>
      <xdr:col>24</xdr:col>
      <xdr:colOff>257175</xdr:colOff>
      <xdr:row>30</xdr:row>
      <xdr:rowOff>104776</xdr:rowOff>
    </xdr:to>
    <xdr:cxnSp macro="">
      <xdr:nvCxnSpPr>
        <xdr:cNvPr id="12" name="直線矢印コネクタ 11"/>
        <xdr:cNvCxnSpPr/>
      </xdr:nvCxnSpPr>
      <xdr:spPr>
        <a:xfrm>
          <a:off x="6086475" y="3724275"/>
          <a:ext cx="523875" cy="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BA83"/>
  <sheetViews>
    <sheetView topLeftCell="E1" zoomScaleNormal="100" zoomScaleSheetLayoutView="100" workbookViewId="0">
      <selection activeCell="AD24" sqref="AD24"/>
    </sheetView>
  </sheetViews>
  <sheetFormatPr defaultRowHeight="13.5" x14ac:dyDescent="0.15"/>
  <cols>
    <col min="1" max="4" width="3.625" style="30" hidden="1" customWidth="1"/>
    <col min="5" max="8" width="3.625" style="30" customWidth="1"/>
    <col min="9" max="9" width="3.625" style="31" customWidth="1"/>
    <col min="10" max="12" width="3.625" style="30" customWidth="1"/>
    <col min="13" max="13" width="3.625" style="31" customWidth="1"/>
    <col min="14" max="18" width="3.625" style="30" customWidth="1"/>
    <col min="19" max="19" width="3.625" style="31" customWidth="1"/>
    <col min="20" max="31" width="3.625" style="30" customWidth="1"/>
    <col min="32" max="53" width="3.625" style="30" hidden="1" customWidth="1"/>
    <col min="54" max="72" width="3.625" style="30" customWidth="1"/>
    <col min="73" max="16384" width="9" style="30"/>
  </cols>
  <sheetData>
    <row r="1" spans="1:40" ht="18.75" x14ac:dyDescent="0.15">
      <c r="A1" s="103" t="s">
        <v>82</v>
      </c>
      <c r="B1" s="103"/>
      <c r="C1" s="103"/>
      <c r="D1" s="103"/>
      <c r="E1" s="168" t="s">
        <v>197</v>
      </c>
      <c r="F1" s="169"/>
      <c r="G1" s="169"/>
      <c r="H1" s="170"/>
      <c r="I1" s="171"/>
      <c r="J1" s="172"/>
      <c r="K1" s="172"/>
      <c r="L1" s="172"/>
      <c r="M1" s="171"/>
      <c r="N1" s="159"/>
      <c r="O1" s="159"/>
      <c r="P1" s="159"/>
      <c r="Q1" s="159"/>
      <c r="R1" s="159"/>
      <c r="S1" s="173"/>
      <c r="T1" s="159"/>
      <c r="U1" s="159"/>
      <c r="V1" s="159" t="str">
        <f>IF(入力シート!C19=0,"一般","現職組合員")</f>
        <v>一般</v>
      </c>
      <c r="W1" s="159"/>
      <c r="X1" s="159"/>
      <c r="Y1" s="159"/>
      <c r="Z1" s="159"/>
      <c r="AA1" s="159"/>
      <c r="AB1" s="159"/>
      <c r="AC1" s="159"/>
      <c r="AD1" s="159"/>
      <c r="AE1" s="159"/>
    </row>
    <row r="2" spans="1:40" x14ac:dyDescent="0.15">
      <c r="E2" s="159" t="s">
        <v>284</v>
      </c>
      <c r="F2" s="159"/>
      <c r="G2" s="159"/>
      <c r="H2" s="159"/>
      <c r="I2" s="173"/>
      <c r="J2" s="159"/>
      <c r="K2" s="159"/>
      <c r="L2" s="159"/>
      <c r="M2" s="173"/>
      <c r="N2" s="159"/>
      <c r="O2" s="159"/>
      <c r="P2" s="159"/>
      <c r="Q2" s="159"/>
      <c r="R2" s="159"/>
      <c r="S2" s="173"/>
      <c r="T2" s="159"/>
      <c r="U2" s="159"/>
      <c r="V2" s="159"/>
      <c r="W2" s="159"/>
      <c r="X2" s="159"/>
      <c r="Y2" s="159"/>
      <c r="Z2" s="159"/>
      <c r="AA2" s="174" t="str">
        <f>+入力シート!J16</f>
        <v>0</v>
      </c>
      <c r="AB2" s="159"/>
      <c r="AC2" s="159"/>
      <c r="AD2" s="159"/>
      <c r="AE2" s="159"/>
    </row>
    <row r="3" spans="1:40" x14ac:dyDescent="0.15">
      <c r="C3" s="48"/>
      <c r="E3" s="159"/>
      <c r="F3" s="159"/>
      <c r="G3" s="159"/>
      <c r="H3" s="159"/>
      <c r="I3" s="173"/>
      <c r="J3" s="159"/>
      <c r="K3" s="159"/>
      <c r="L3" s="159"/>
      <c r="M3" s="173"/>
      <c r="N3" s="159"/>
      <c r="O3" s="159"/>
      <c r="P3" s="159"/>
      <c r="Q3" s="159"/>
      <c r="R3" s="159"/>
      <c r="S3" s="173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G3" s="75"/>
    </row>
    <row r="4" spans="1:40" ht="13.5" customHeight="1" x14ac:dyDescent="0.15">
      <c r="C4" s="48"/>
      <c r="E4" s="159"/>
      <c r="F4" s="245" t="s">
        <v>187</v>
      </c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159"/>
      <c r="AG4" s="75"/>
      <c r="AH4" s="145"/>
      <c r="AI4" s="146"/>
      <c r="AJ4" s="146"/>
    </row>
    <row r="5" spans="1:40" ht="13.5" customHeight="1" x14ac:dyDescent="0.15">
      <c r="C5" s="48"/>
      <c r="E5" s="159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159"/>
      <c r="AG5" s="75"/>
      <c r="AH5" s="147"/>
      <c r="AI5" s="148"/>
      <c r="AJ5" s="148"/>
    </row>
    <row r="6" spans="1:40" x14ac:dyDescent="0.15">
      <c r="C6" s="48"/>
      <c r="E6" s="159"/>
      <c r="F6" s="159"/>
      <c r="G6" s="159"/>
      <c r="H6" s="159"/>
      <c r="I6" s="173"/>
      <c r="J6" s="159"/>
      <c r="K6" s="159"/>
      <c r="L6" s="159"/>
      <c r="M6" s="173"/>
      <c r="N6" s="159"/>
      <c r="O6" s="159"/>
      <c r="P6" s="159"/>
      <c r="Q6" s="159"/>
      <c r="R6" s="159"/>
      <c r="S6" s="173"/>
      <c r="T6" s="159"/>
      <c r="U6" s="159"/>
      <c r="V6" s="159"/>
      <c r="W6" s="159"/>
      <c r="X6" s="159"/>
      <c r="Y6" s="159"/>
      <c r="Z6" s="159"/>
      <c r="AA6" s="175"/>
      <c r="AB6" s="159"/>
      <c r="AC6" s="159"/>
      <c r="AD6" s="159"/>
      <c r="AE6" s="159"/>
      <c r="AG6" s="75"/>
    </row>
    <row r="7" spans="1:40" ht="17.25" x14ac:dyDescent="0.15">
      <c r="B7" s="30">
        <v>1</v>
      </c>
      <c r="C7" s="48"/>
      <c r="E7" s="176" t="s">
        <v>163</v>
      </c>
      <c r="F7" s="159"/>
      <c r="G7" s="159"/>
      <c r="H7" s="159"/>
      <c r="I7" s="173"/>
      <c r="J7" s="159"/>
      <c r="K7" s="159"/>
      <c r="L7" s="159"/>
      <c r="M7" s="173"/>
      <c r="N7" s="159"/>
      <c r="O7" s="159"/>
      <c r="P7" s="159"/>
      <c r="Q7" s="159"/>
      <c r="R7" s="159"/>
      <c r="S7" s="173"/>
      <c r="T7" s="159"/>
      <c r="U7" s="177" t="str">
        <f>IF(AA10&gt;Sheet3!B3,+Sheet3!E3,"")</f>
        <v/>
      </c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G7" s="75"/>
    </row>
    <row r="8" spans="1:40" ht="15" customHeight="1" x14ac:dyDescent="0.15">
      <c r="C8" s="48"/>
      <c r="E8" s="159"/>
      <c r="F8" s="159"/>
      <c r="G8" s="159"/>
      <c r="H8" s="159"/>
      <c r="I8" s="173"/>
      <c r="J8" s="159"/>
      <c r="K8" s="159"/>
      <c r="L8" s="159"/>
      <c r="M8" s="173"/>
      <c r="N8" s="159"/>
      <c r="O8" s="159"/>
      <c r="P8" s="159"/>
      <c r="Q8" s="159"/>
      <c r="R8" s="159"/>
      <c r="S8" s="173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G8" s="75"/>
      <c r="AI8" s="120"/>
    </row>
    <row r="9" spans="1:40" ht="15" customHeight="1" thickBot="1" x14ac:dyDescent="0.2">
      <c r="C9" s="48"/>
      <c r="E9" s="159"/>
      <c r="F9" s="159"/>
      <c r="G9" s="159"/>
      <c r="H9" s="162"/>
      <c r="I9" s="160" t="s">
        <v>1</v>
      </c>
      <c r="J9" s="160"/>
      <c r="K9" s="173"/>
      <c r="L9" s="162"/>
      <c r="M9" s="160" t="s">
        <v>36</v>
      </c>
      <c r="N9" s="160"/>
      <c r="O9" s="159"/>
      <c r="P9" s="162"/>
      <c r="Q9" s="160" t="s">
        <v>36</v>
      </c>
      <c r="R9" s="160"/>
      <c r="S9" s="159"/>
      <c r="T9" s="162"/>
      <c r="U9" s="160" t="s">
        <v>36</v>
      </c>
      <c r="V9" s="160"/>
      <c r="W9" s="159"/>
      <c r="X9" s="159"/>
      <c r="Y9" s="159"/>
      <c r="Z9" s="160"/>
      <c r="AA9" s="160"/>
      <c r="AB9" s="160" t="s">
        <v>181</v>
      </c>
      <c r="AC9" s="160"/>
      <c r="AD9" s="159"/>
      <c r="AE9" s="159"/>
      <c r="AG9" s="75"/>
      <c r="AH9" s="120"/>
      <c r="AI9" s="65" t="s">
        <v>99</v>
      </c>
      <c r="AJ9" s="120"/>
      <c r="AM9" s="120" t="s">
        <v>203</v>
      </c>
    </row>
    <row r="10" spans="1:40" ht="15" customHeight="1" thickTop="1" thickBot="1" x14ac:dyDescent="0.2">
      <c r="C10" s="48"/>
      <c r="E10" s="159"/>
      <c r="F10" s="162" t="s">
        <v>58</v>
      </c>
      <c r="G10" s="159"/>
      <c r="H10" s="247">
        <f>+入力シート!D6</f>
        <v>98000</v>
      </c>
      <c r="I10" s="248"/>
      <c r="J10" s="249"/>
      <c r="K10" s="178" t="s">
        <v>86</v>
      </c>
      <c r="L10" s="247">
        <f>+入力シート!E6</f>
        <v>0</v>
      </c>
      <c r="M10" s="250"/>
      <c r="N10" s="251"/>
      <c r="O10" s="163" t="s">
        <v>50</v>
      </c>
      <c r="P10" s="247">
        <f>+入力シート!F6</f>
        <v>0</v>
      </c>
      <c r="Q10" s="250"/>
      <c r="R10" s="251"/>
      <c r="S10" s="163" t="s">
        <v>50</v>
      </c>
      <c r="T10" s="247">
        <f>+入力シート!G6</f>
        <v>0</v>
      </c>
      <c r="U10" s="250"/>
      <c r="V10" s="251"/>
      <c r="W10" s="252" t="s">
        <v>88</v>
      </c>
      <c r="X10" s="253"/>
      <c r="Y10" s="253"/>
      <c r="Z10" s="163" t="s">
        <v>51</v>
      </c>
      <c r="AA10" s="260">
        <f>ROUNDDOWN(AH10,0)</f>
        <v>98000</v>
      </c>
      <c r="AB10" s="261"/>
      <c r="AC10" s="262"/>
      <c r="AD10" s="159"/>
      <c r="AE10" s="159"/>
      <c r="AG10" s="75"/>
      <c r="AH10" s="266">
        <f>+H10+(L10+P10+T10)/12</f>
        <v>98000</v>
      </c>
      <c r="AI10" s="267"/>
      <c r="AJ10" s="268"/>
      <c r="AL10" s="254">
        <f>+算定シート1!D19</f>
        <v>98000</v>
      </c>
      <c r="AM10" s="255"/>
      <c r="AN10" s="256"/>
    </row>
    <row r="11" spans="1:40" ht="15" customHeight="1" x14ac:dyDescent="0.15">
      <c r="C11" s="48"/>
      <c r="E11" s="159"/>
      <c r="F11" s="159"/>
      <c r="G11" s="159"/>
      <c r="H11" s="159"/>
      <c r="I11" s="173"/>
      <c r="J11" s="159"/>
      <c r="K11" s="159"/>
      <c r="L11" s="159"/>
      <c r="M11" s="173"/>
      <c r="N11" s="159"/>
      <c r="O11" s="159"/>
      <c r="P11" s="159"/>
      <c r="Q11" s="159"/>
      <c r="R11" s="159"/>
      <c r="S11" s="173"/>
      <c r="T11" s="159"/>
      <c r="U11" s="159"/>
      <c r="V11" s="159"/>
      <c r="W11" s="159"/>
      <c r="X11" s="159"/>
      <c r="Y11" s="159"/>
      <c r="Z11" s="159"/>
      <c r="AA11" s="159"/>
      <c r="AB11" s="167" t="s">
        <v>76</v>
      </c>
      <c r="AC11" s="159"/>
      <c r="AD11" s="159"/>
      <c r="AE11" s="159"/>
      <c r="AG11" s="75"/>
      <c r="AH11" s="79"/>
      <c r="AI11" s="79"/>
      <c r="AJ11" s="79"/>
      <c r="AL11" s="79"/>
      <c r="AM11" s="79"/>
      <c r="AN11" s="79"/>
    </row>
    <row r="12" spans="1:40" ht="15" customHeight="1" x14ac:dyDescent="0.15">
      <c r="C12" s="48"/>
      <c r="E12" s="159"/>
      <c r="F12" s="159"/>
      <c r="G12" s="159"/>
      <c r="H12" s="159"/>
      <c r="I12" s="173"/>
      <c r="J12" s="159"/>
      <c r="K12" s="159"/>
      <c r="L12" s="159"/>
      <c r="M12" s="173"/>
      <c r="N12" s="159"/>
      <c r="O12" s="159"/>
      <c r="P12" s="159"/>
      <c r="Q12" s="159"/>
      <c r="R12" s="159"/>
      <c r="S12" s="173"/>
      <c r="T12" s="159"/>
      <c r="U12" s="159"/>
      <c r="V12" s="159"/>
      <c r="W12" s="159"/>
      <c r="X12" s="159"/>
      <c r="Y12" s="159"/>
      <c r="Z12" s="159"/>
      <c r="AA12" s="159"/>
      <c r="AB12" s="167"/>
      <c r="AC12" s="159"/>
      <c r="AD12" s="159"/>
      <c r="AE12" s="159"/>
      <c r="AG12" s="75"/>
      <c r="AH12" s="79"/>
      <c r="AI12" s="79"/>
      <c r="AJ12" s="79"/>
      <c r="AL12" s="79"/>
      <c r="AM12" s="79"/>
      <c r="AN12" s="79"/>
    </row>
    <row r="13" spans="1:40" ht="15" customHeight="1" thickBot="1" x14ac:dyDescent="0.2">
      <c r="C13" s="48"/>
      <c r="E13" s="159"/>
      <c r="F13" s="159"/>
      <c r="G13" s="159"/>
      <c r="H13" s="159"/>
      <c r="I13" s="173"/>
      <c r="J13" s="159"/>
      <c r="K13" s="159"/>
      <c r="L13" s="162"/>
      <c r="M13" s="164" t="s">
        <v>153</v>
      </c>
      <c r="N13" s="160"/>
      <c r="O13" s="159"/>
      <c r="P13" s="159"/>
      <c r="Q13" s="159"/>
      <c r="R13" s="159"/>
      <c r="S13" s="160"/>
      <c r="T13" s="160" t="s">
        <v>191</v>
      </c>
      <c r="U13" s="160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G13" s="75"/>
      <c r="AH13" s="80"/>
      <c r="AI13" s="102" t="s">
        <v>101</v>
      </c>
      <c r="AJ13" s="80"/>
      <c r="AL13" s="80"/>
      <c r="AM13" s="136" t="s">
        <v>203</v>
      </c>
      <c r="AN13" s="80"/>
    </row>
    <row r="14" spans="1:40" ht="15" customHeight="1" thickTop="1" thickBot="1" x14ac:dyDescent="0.2">
      <c r="C14" s="48"/>
      <c r="E14" s="159"/>
      <c r="F14" s="162" t="s">
        <v>184</v>
      </c>
      <c r="G14" s="159"/>
      <c r="H14" s="159"/>
      <c r="I14" s="173"/>
      <c r="J14" s="159"/>
      <c r="K14" s="159"/>
      <c r="L14" s="247">
        <f>+入力シート!D15</f>
        <v>0</v>
      </c>
      <c r="M14" s="248"/>
      <c r="N14" s="249"/>
      <c r="O14" s="257" t="s">
        <v>150</v>
      </c>
      <c r="P14" s="258"/>
      <c r="Q14" s="258"/>
      <c r="R14" s="259"/>
      <c r="S14" s="260">
        <f>ROUND(AH14,2)</f>
        <v>0</v>
      </c>
      <c r="T14" s="261"/>
      <c r="U14" s="262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G14" s="75"/>
      <c r="AH14" s="263">
        <f>+L14/12</f>
        <v>0</v>
      </c>
      <c r="AI14" s="264"/>
      <c r="AJ14" s="265"/>
      <c r="AL14" s="254">
        <f>+算定シート1!D27</f>
        <v>0</v>
      </c>
      <c r="AM14" s="255"/>
      <c r="AN14" s="256"/>
    </row>
    <row r="15" spans="1:40" ht="15" customHeight="1" x14ac:dyDescent="0.15">
      <c r="C15" s="48"/>
      <c r="E15" s="159"/>
      <c r="F15" s="159"/>
      <c r="G15" s="159"/>
      <c r="H15" s="159"/>
      <c r="I15" s="173"/>
      <c r="J15" s="159"/>
      <c r="K15" s="159"/>
      <c r="L15" s="159"/>
      <c r="M15" s="159"/>
      <c r="N15" s="159"/>
      <c r="O15" s="173"/>
      <c r="P15" s="173"/>
      <c r="Q15" s="173"/>
      <c r="R15" s="173"/>
      <c r="S15" s="159"/>
      <c r="T15" s="167"/>
      <c r="U15" s="159"/>
      <c r="V15" s="160"/>
      <c r="W15" s="159"/>
      <c r="X15" s="159"/>
      <c r="Y15" s="159"/>
      <c r="Z15" s="159"/>
      <c r="AA15" s="159"/>
      <c r="AB15" s="159"/>
      <c r="AC15" s="159"/>
      <c r="AD15" s="159"/>
      <c r="AE15" s="159"/>
      <c r="AG15" s="75"/>
      <c r="AH15" s="79"/>
      <c r="AI15" s="79"/>
      <c r="AJ15" s="79"/>
      <c r="AL15" s="79"/>
      <c r="AM15" s="79"/>
      <c r="AN15" s="79"/>
    </row>
    <row r="16" spans="1:40" ht="15" customHeight="1" thickBot="1" x14ac:dyDescent="0.2">
      <c r="C16" s="48"/>
      <c r="E16" s="159"/>
      <c r="F16" s="159"/>
      <c r="G16" s="159"/>
      <c r="H16" s="159"/>
      <c r="I16" s="173"/>
      <c r="J16" s="159"/>
      <c r="K16" s="159"/>
      <c r="L16" s="179"/>
      <c r="M16" s="164" t="s">
        <v>153</v>
      </c>
      <c r="N16" s="164"/>
      <c r="O16" s="180"/>
      <c r="P16" s="173"/>
      <c r="Q16" s="173"/>
      <c r="R16" s="173"/>
      <c r="S16" s="160"/>
      <c r="T16" s="160" t="s">
        <v>192</v>
      </c>
      <c r="U16" s="160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G16" s="75"/>
      <c r="AH16" s="80"/>
      <c r="AI16" s="102" t="s">
        <v>100</v>
      </c>
      <c r="AJ16" s="80"/>
      <c r="AL16" s="80"/>
      <c r="AM16" s="136" t="s">
        <v>203</v>
      </c>
      <c r="AN16" s="80"/>
    </row>
    <row r="17" spans="2:41" ht="15" customHeight="1" thickTop="1" thickBot="1" x14ac:dyDescent="0.2">
      <c r="C17" s="48"/>
      <c r="E17" s="159"/>
      <c r="F17" s="162" t="s">
        <v>185</v>
      </c>
      <c r="G17" s="159"/>
      <c r="H17" s="159"/>
      <c r="I17" s="173"/>
      <c r="J17" s="181"/>
      <c r="K17" s="159"/>
      <c r="L17" s="247">
        <f>+入力シート!D9</f>
        <v>0</v>
      </c>
      <c r="M17" s="248"/>
      <c r="N17" s="249"/>
      <c r="O17" s="257" t="s">
        <v>150</v>
      </c>
      <c r="P17" s="258"/>
      <c r="Q17" s="258"/>
      <c r="R17" s="259"/>
      <c r="S17" s="260">
        <f>ROUND(AH17,2)</f>
        <v>0</v>
      </c>
      <c r="T17" s="261"/>
      <c r="U17" s="262"/>
      <c r="V17" s="182"/>
      <c r="W17" s="159"/>
      <c r="X17" s="159"/>
      <c r="Y17" s="159"/>
      <c r="Z17" s="159"/>
      <c r="AA17" s="159"/>
      <c r="AB17" s="159"/>
      <c r="AC17" s="159"/>
      <c r="AD17" s="159"/>
      <c r="AE17" s="159"/>
      <c r="AG17" s="75"/>
      <c r="AH17" s="266">
        <f>+(L17)/12</f>
        <v>0</v>
      </c>
      <c r="AI17" s="267"/>
      <c r="AJ17" s="268"/>
      <c r="AL17" s="254">
        <f>+算定シート1!D23</f>
        <v>0</v>
      </c>
      <c r="AM17" s="255"/>
      <c r="AN17" s="256"/>
    </row>
    <row r="18" spans="2:41" ht="15" customHeight="1" x14ac:dyDescent="0.15">
      <c r="C18" s="48"/>
      <c r="E18" s="159"/>
      <c r="F18" s="183" t="s">
        <v>73</v>
      </c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G18" s="75"/>
    </row>
    <row r="19" spans="2:41" ht="15" customHeight="1" thickBot="1" x14ac:dyDescent="0.2">
      <c r="C19" s="48"/>
      <c r="E19" s="159"/>
      <c r="F19" s="159"/>
      <c r="G19" s="159"/>
      <c r="H19" s="159"/>
      <c r="I19" s="173"/>
      <c r="J19" s="159"/>
      <c r="K19" s="159"/>
      <c r="L19" s="179"/>
      <c r="M19" s="164" t="s">
        <v>153</v>
      </c>
      <c r="N19" s="164"/>
      <c r="O19" s="180"/>
      <c r="P19" s="173"/>
      <c r="Q19" s="173"/>
      <c r="R19" s="173"/>
      <c r="S19" s="160"/>
      <c r="T19" s="160" t="s">
        <v>193</v>
      </c>
      <c r="U19" s="160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G19" s="75"/>
      <c r="AH19" s="80"/>
      <c r="AI19" s="102" t="s">
        <v>173</v>
      </c>
      <c r="AJ19" s="80"/>
    </row>
    <row r="20" spans="2:41" ht="15" customHeight="1" thickTop="1" thickBot="1" x14ac:dyDescent="0.2">
      <c r="C20" s="48"/>
      <c r="E20" s="159"/>
      <c r="F20" s="162" t="s">
        <v>186</v>
      </c>
      <c r="G20" s="159"/>
      <c r="H20" s="159"/>
      <c r="I20" s="173"/>
      <c r="J20" s="181"/>
      <c r="K20" s="159"/>
      <c r="L20" s="247">
        <f>+入力シート!D12</f>
        <v>0</v>
      </c>
      <c r="M20" s="248"/>
      <c r="N20" s="249"/>
      <c r="O20" s="257" t="s">
        <v>150</v>
      </c>
      <c r="P20" s="258"/>
      <c r="Q20" s="258"/>
      <c r="R20" s="259"/>
      <c r="S20" s="260">
        <f>ROUND(AH20,2)</f>
        <v>0</v>
      </c>
      <c r="T20" s="261"/>
      <c r="U20" s="262"/>
      <c r="V20" s="182"/>
      <c r="W20" s="159"/>
      <c r="X20" s="159"/>
      <c r="Y20" s="159"/>
      <c r="Z20" s="159"/>
      <c r="AA20" s="159"/>
      <c r="AB20" s="159"/>
      <c r="AC20" s="159"/>
      <c r="AD20" s="159"/>
      <c r="AE20" s="159"/>
      <c r="AG20" s="75"/>
      <c r="AH20" s="266">
        <f>+(L20)/12</f>
        <v>0</v>
      </c>
      <c r="AI20" s="267"/>
      <c r="AJ20" s="268"/>
    </row>
    <row r="21" spans="2:41" ht="15" customHeight="1" x14ac:dyDescent="0.15">
      <c r="C21" s="48"/>
      <c r="E21" s="159"/>
      <c r="F21" s="183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G21" s="75"/>
    </row>
    <row r="22" spans="2:41" ht="15" customHeight="1" thickBot="1" x14ac:dyDescent="0.2">
      <c r="C22" s="48"/>
      <c r="E22" s="159"/>
      <c r="F22" s="159" t="s">
        <v>40</v>
      </c>
      <c r="G22" s="159"/>
      <c r="H22" s="159"/>
      <c r="I22" s="173"/>
      <c r="J22" s="159"/>
      <c r="K22" s="159"/>
      <c r="L22" s="162"/>
      <c r="M22" s="160" t="s">
        <v>191</v>
      </c>
      <c r="N22" s="160"/>
      <c r="O22" s="159"/>
      <c r="P22" s="162"/>
      <c r="Q22" s="160" t="s">
        <v>192</v>
      </c>
      <c r="R22" s="160"/>
      <c r="S22" s="159"/>
      <c r="T22" s="162"/>
      <c r="U22" s="160" t="s">
        <v>193</v>
      </c>
      <c r="V22" s="160"/>
      <c r="W22" s="159"/>
      <c r="X22" s="160"/>
      <c r="Y22" s="160" t="s">
        <v>165</v>
      </c>
      <c r="Z22" s="160"/>
      <c r="AA22" s="159"/>
      <c r="AB22" s="159"/>
      <c r="AC22" s="159"/>
      <c r="AD22" s="159"/>
      <c r="AE22" s="159"/>
      <c r="AG22" s="75"/>
    </row>
    <row r="23" spans="2:41" ht="15" customHeight="1" thickTop="1" thickBot="1" x14ac:dyDescent="0.2">
      <c r="C23" s="48"/>
      <c r="E23" s="159"/>
      <c r="F23" s="162" t="s">
        <v>165</v>
      </c>
      <c r="G23" s="159"/>
      <c r="H23" s="159"/>
      <c r="I23" s="173"/>
      <c r="J23" s="159"/>
      <c r="K23" s="159"/>
      <c r="L23" s="247">
        <f>+S14</f>
        <v>0</v>
      </c>
      <c r="M23" s="250"/>
      <c r="N23" s="251"/>
      <c r="O23" s="184" t="s">
        <v>50</v>
      </c>
      <c r="P23" s="247">
        <f>+S17</f>
        <v>0</v>
      </c>
      <c r="Q23" s="248"/>
      <c r="R23" s="249"/>
      <c r="S23" s="184" t="s">
        <v>50</v>
      </c>
      <c r="T23" s="247">
        <f>+S20</f>
        <v>0</v>
      </c>
      <c r="U23" s="248"/>
      <c r="V23" s="249"/>
      <c r="W23" s="185" t="s">
        <v>51</v>
      </c>
      <c r="X23" s="260">
        <f>+P23+L23+T23</f>
        <v>0</v>
      </c>
      <c r="Y23" s="261"/>
      <c r="Z23" s="262"/>
      <c r="AA23" s="159"/>
      <c r="AB23" s="159"/>
      <c r="AC23" s="159"/>
      <c r="AD23" s="159"/>
      <c r="AE23" s="159"/>
      <c r="AG23" s="75"/>
    </row>
    <row r="24" spans="2:41" ht="15" customHeight="1" x14ac:dyDescent="0.15">
      <c r="C24" s="48"/>
      <c r="E24" s="159"/>
      <c r="F24" s="162"/>
      <c r="G24" s="159"/>
      <c r="H24" s="159"/>
      <c r="I24" s="173"/>
      <c r="J24" s="159"/>
      <c r="K24" s="186"/>
      <c r="L24" s="187"/>
      <c r="M24" s="187"/>
      <c r="N24" s="163"/>
      <c r="O24" s="186"/>
      <c r="P24" s="186"/>
      <c r="Q24" s="186"/>
      <c r="R24" s="160"/>
      <c r="S24" s="186"/>
      <c r="T24" s="187"/>
      <c r="U24" s="187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G24" s="75"/>
    </row>
    <row r="25" spans="2:41" ht="15" customHeight="1" x14ac:dyDescent="0.15">
      <c r="C25" s="48"/>
      <c r="E25" s="159"/>
      <c r="F25" s="162"/>
      <c r="G25" s="159"/>
      <c r="H25" s="159"/>
      <c r="I25" s="173"/>
      <c r="J25" s="159"/>
      <c r="K25" s="186"/>
      <c r="L25" s="187"/>
      <c r="M25" s="187"/>
      <c r="N25" s="163"/>
      <c r="O25" s="159"/>
      <c r="P25" s="159"/>
      <c r="Q25" s="159"/>
      <c r="R25" s="160"/>
      <c r="S25" s="186"/>
      <c r="T25" s="187"/>
      <c r="U25" s="187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G25" s="75"/>
    </row>
    <row r="26" spans="2:41" ht="15" customHeight="1" x14ac:dyDescent="0.15">
      <c r="C26" s="48"/>
      <c r="E26" s="159"/>
      <c r="F26" s="162"/>
      <c r="G26" s="159"/>
      <c r="H26" s="159"/>
      <c r="I26" s="173"/>
      <c r="J26" s="159"/>
      <c r="K26" s="186"/>
      <c r="L26" s="187"/>
      <c r="M26" s="187"/>
      <c r="N26" s="163"/>
      <c r="O26" s="186"/>
      <c r="P26" s="186"/>
      <c r="Q26" s="186"/>
      <c r="R26" s="160"/>
      <c r="S26" s="186"/>
      <c r="T26" s="187"/>
      <c r="U26" s="187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G26" s="75"/>
    </row>
    <row r="27" spans="2:41" ht="15" customHeight="1" x14ac:dyDescent="0.15">
      <c r="C27" s="48"/>
      <c r="E27" s="159"/>
      <c r="F27" s="159"/>
      <c r="G27" s="159"/>
      <c r="H27" s="159"/>
      <c r="I27" s="173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60" t="s">
        <v>40</v>
      </c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G27" s="75"/>
      <c r="AJ27" s="34"/>
    </row>
    <row r="28" spans="2:41" s="38" customFormat="1" ht="15" customHeight="1" x14ac:dyDescent="0.15">
      <c r="C28" s="47"/>
      <c r="E28" s="176" t="s">
        <v>164</v>
      </c>
      <c r="F28" s="162"/>
      <c r="G28" s="162"/>
      <c r="H28" s="162"/>
      <c r="I28" s="160"/>
      <c r="J28" s="162"/>
      <c r="K28" s="162"/>
      <c r="L28" s="162"/>
      <c r="M28" s="160"/>
      <c r="N28" s="162"/>
      <c r="O28" s="162"/>
      <c r="P28" s="162"/>
      <c r="Q28" s="162"/>
      <c r="R28" s="162"/>
      <c r="S28" s="160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G28" s="76"/>
      <c r="AJ28" s="62"/>
    </row>
    <row r="29" spans="2:41" s="38" customFormat="1" ht="15" customHeight="1" x14ac:dyDescent="0.15">
      <c r="C29" s="47"/>
      <c r="E29" s="176"/>
      <c r="F29" s="162"/>
      <c r="G29" s="162"/>
      <c r="H29" s="162"/>
      <c r="I29" s="160"/>
      <c r="J29" s="162"/>
      <c r="K29" s="162"/>
      <c r="L29" s="162"/>
      <c r="M29" s="160"/>
      <c r="N29" s="162"/>
      <c r="O29" s="162"/>
      <c r="P29" s="162"/>
      <c r="Q29" s="162"/>
      <c r="R29" s="162"/>
      <c r="S29" s="160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G29" s="76"/>
      <c r="AJ29" s="62"/>
    </row>
    <row r="30" spans="2:41" s="38" customFormat="1" ht="15" customHeight="1" thickBot="1" x14ac:dyDescent="0.2">
      <c r="C30" s="47"/>
      <c r="E30" s="162"/>
      <c r="F30" s="162"/>
      <c r="G30" s="162"/>
      <c r="H30" s="160" t="s">
        <v>58</v>
      </c>
      <c r="I30" s="160"/>
      <c r="J30" s="160"/>
      <c r="K30" s="162"/>
      <c r="L30" s="160" t="s">
        <v>165</v>
      </c>
      <c r="M30" s="160"/>
      <c r="N30" s="162"/>
      <c r="O30" s="162"/>
      <c r="P30" s="162"/>
      <c r="Q30" s="162"/>
      <c r="R30" s="162"/>
      <c r="S30" s="162"/>
      <c r="T30" s="160"/>
      <c r="U30" s="160"/>
      <c r="V30" s="160" t="s">
        <v>80</v>
      </c>
      <c r="W30" s="160"/>
      <c r="X30" s="162"/>
      <c r="Y30" s="162"/>
      <c r="Z30" s="160"/>
      <c r="AA30" s="160" t="s">
        <v>147</v>
      </c>
      <c r="AB30" s="160"/>
      <c r="AC30" s="162"/>
      <c r="AD30" s="162"/>
      <c r="AE30" s="162"/>
      <c r="AG30" s="76"/>
      <c r="AH30" s="120"/>
      <c r="AI30" s="65" t="s">
        <v>102</v>
      </c>
      <c r="AJ30" s="120"/>
      <c r="AM30" s="120"/>
      <c r="AN30" s="65" t="s">
        <v>102</v>
      </c>
      <c r="AO30" s="120"/>
    </row>
    <row r="31" spans="2:41" s="38" customFormat="1" ht="15" customHeight="1" thickTop="1" thickBot="1" x14ac:dyDescent="0.2">
      <c r="B31" s="38">
        <v>5</v>
      </c>
      <c r="C31" s="47"/>
      <c r="E31" s="162"/>
      <c r="F31" s="188" t="s">
        <v>53</v>
      </c>
      <c r="G31" s="247">
        <f>+AA10</f>
        <v>98000</v>
      </c>
      <c r="H31" s="248"/>
      <c r="I31" s="249"/>
      <c r="J31" s="160" t="s">
        <v>50</v>
      </c>
      <c r="K31" s="247">
        <f>+X23</f>
        <v>0</v>
      </c>
      <c r="L31" s="248"/>
      <c r="M31" s="249"/>
      <c r="N31" s="166" t="s">
        <v>43</v>
      </c>
      <c r="O31" s="269" t="str">
        <f>+Sheet3!E25</f>
        <v>２８万円〕  ×  １／２</v>
      </c>
      <c r="P31" s="270"/>
      <c r="Q31" s="270"/>
      <c r="R31" s="270"/>
      <c r="S31" s="270"/>
      <c r="T31" s="160" t="s">
        <v>51</v>
      </c>
      <c r="U31" s="247">
        <f>ROUND(AH31,2)</f>
        <v>-91000</v>
      </c>
      <c r="V31" s="248"/>
      <c r="W31" s="249"/>
      <c r="X31" s="162"/>
      <c r="Y31" s="162"/>
      <c r="Z31" s="260">
        <f>IF(U31&lt;K31,U31,K31)</f>
        <v>-91000</v>
      </c>
      <c r="AA31" s="261"/>
      <c r="AB31" s="262"/>
      <c r="AC31" s="162"/>
      <c r="AD31" s="162"/>
      <c r="AE31" s="162"/>
      <c r="AG31" s="76"/>
      <c r="AH31" s="276">
        <f>+(G31+K31-Sheet3!B25)/2</f>
        <v>-91000</v>
      </c>
      <c r="AI31" s="277"/>
      <c r="AJ31" s="278"/>
      <c r="AM31" s="279" t="e">
        <f>+L80*P80/T80</f>
        <v>#DIV/0!</v>
      </c>
      <c r="AN31" s="280"/>
      <c r="AO31" s="281"/>
    </row>
    <row r="32" spans="2:41" s="38" customFormat="1" ht="15" customHeight="1" x14ac:dyDescent="0.15">
      <c r="C32" s="47"/>
      <c r="E32" s="188"/>
      <c r="F32" s="189"/>
      <c r="G32" s="190"/>
      <c r="H32" s="190"/>
      <c r="I32" s="160"/>
      <c r="J32" s="189"/>
      <c r="K32" s="190"/>
      <c r="L32" s="190"/>
      <c r="M32" s="166"/>
      <c r="N32" s="166"/>
      <c r="O32" s="160"/>
      <c r="P32" s="189"/>
      <c r="Q32" s="190"/>
      <c r="R32" s="190"/>
      <c r="S32" s="162"/>
      <c r="T32" s="162"/>
      <c r="U32" s="167"/>
      <c r="V32" s="162"/>
      <c r="W32" s="162"/>
      <c r="X32" s="162"/>
      <c r="Y32" s="191" t="str">
        <f>IF(U31&lt;K31,"","注）年金額の全額停止")</f>
        <v/>
      </c>
      <c r="Z32" s="162"/>
      <c r="AA32" s="162"/>
      <c r="AB32" s="162"/>
      <c r="AC32" s="162"/>
      <c r="AD32" s="162"/>
      <c r="AE32" s="162"/>
      <c r="AG32" s="76"/>
      <c r="AH32" s="62"/>
      <c r="AO32" s="38" t="s">
        <v>40</v>
      </c>
    </row>
    <row r="33" spans="3:52" s="38" customFormat="1" ht="15" customHeight="1" x14ac:dyDescent="0.15">
      <c r="C33" s="47"/>
      <c r="E33" s="188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G33" s="76"/>
    </row>
    <row r="34" spans="3:52" s="38" customFormat="1" ht="15" customHeight="1" x14ac:dyDescent="0.15">
      <c r="C34" s="47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G34" s="76"/>
      <c r="AH34" s="38" t="s">
        <v>97</v>
      </c>
    </row>
    <row r="35" spans="3:52" s="38" customFormat="1" ht="15" customHeight="1" x14ac:dyDescent="0.15">
      <c r="C35" s="47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G35" s="76"/>
      <c r="AH35" s="273">
        <f>+Z31</f>
        <v>-91000</v>
      </c>
      <c r="AI35" s="274"/>
      <c r="AJ35" s="275"/>
      <c r="AK35" s="52" t="s">
        <v>62</v>
      </c>
      <c r="AL35" s="273">
        <f>+S14</f>
        <v>0</v>
      </c>
      <c r="AM35" s="274"/>
      <c r="AN35" s="275"/>
      <c r="AO35" s="52" t="s">
        <v>63</v>
      </c>
      <c r="AP35" s="273">
        <f>+T80</f>
        <v>0</v>
      </c>
      <c r="AQ35" s="274"/>
      <c r="AR35" s="275"/>
      <c r="AS35" s="122" t="s">
        <v>51</v>
      </c>
      <c r="AT35" s="273" t="e">
        <f>+AH35*AL35/AP35</f>
        <v>#DIV/0!</v>
      </c>
      <c r="AU35" s="274"/>
      <c r="AV35" s="275"/>
    </row>
    <row r="36" spans="3:52" s="38" customFormat="1" ht="15" customHeight="1" x14ac:dyDescent="0.15">
      <c r="C36" s="47"/>
      <c r="E36" s="176" t="s">
        <v>195</v>
      </c>
      <c r="F36" s="162"/>
      <c r="G36" s="190"/>
      <c r="H36" s="190"/>
      <c r="I36" s="160"/>
      <c r="J36" s="189"/>
      <c r="K36" s="163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59"/>
      <c r="AB36" s="159"/>
      <c r="AC36" s="159"/>
      <c r="AD36" s="162"/>
      <c r="AE36" s="162"/>
      <c r="AG36" s="76"/>
    </row>
    <row r="37" spans="3:52" s="38" customFormat="1" ht="15" customHeight="1" x14ac:dyDescent="0.15">
      <c r="C37" s="47"/>
      <c r="E37" s="176"/>
      <c r="F37" s="162"/>
      <c r="G37" s="190"/>
      <c r="H37" s="190"/>
      <c r="I37" s="160"/>
      <c r="J37" s="189"/>
      <c r="K37" s="163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59"/>
      <c r="AB37" s="159"/>
      <c r="AC37" s="159"/>
      <c r="AD37" s="162"/>
      <c r="AE37" s="162"/>
      <c r="AG37" s="76"/>
    </row>
    <row r="38" spans="3:52" s="38" customFormat="1" ht="15" customHeight="1" thickBot="1" x14ac:dyDescent="0.2">
      <c r="C38" s="47"/>
      <c r="E38" s="176"/>
      <c r="F38" s="162"/>
      <c r="G38" s="190"/>
      <c r="H38" s="190"/>
      <c r="I38" s="160"/>
      <c r="J38" s="162"/>
      <c r="K38" s="162"/>
      <c r="L38" s="163"/>
      <c r="M38" s="160" t="s">
        <v>147</v>
      </c>
      <c r="N38" s="163"/>
      <c r="O38" s="162"/>
      <c r="P38" s="162"/>
      <c r="Q38" s="165"/>
      <c r="R38" s="160" t="s">
        <v>192</v>
      </c>
      <c r="S38" s="166"/>
      <c r="T38" s="160"/>
      <c r="U38" s="162"/>
      <c r="V38" s="189"/>
      <c r="W38" s="160" t="s">
        <v>165</v>
      </c>
      <c r="X38" s="190"/>
      <c r="Y38" s="162"/>
      <c r="Z38" s="162"/>
      <c r="AA38" s="160"/>
      <c r="AB38" s="160" t="s">
        <v>152</v>
      </c>
      <c r="AC38" s="160"/>
      <c r="AD38" s="162"/>
      <c r="AE38" s="162"/>
      <c r="AG38" s="76"/>
      <c r="AH38" s="120"/>
      <c r="AI38" s="65" t="s">
        <v>103</v>
      </c>
      <c r="AJ38" s="120"/>
      <c r="AK38" s="30"/>
      <c r="AL38" s="30"/>
      <c r="AM38" s="65" t="s">
        <v>160</v>
      </c>
      <c r="AN38" s="30"/>
      <c r="AO38" s="30"/>
      <c r="AP38" s="120"/>
      <c r="AQ38" s="111" t="s">
        <v>139</v>
      </c>
      <c r="AR38" s="54"/>
      <c r="AS38" s="55"/>
      <c r="AT38" s="54"/>
      <c r="AU38" s="111" t="s">
        <v>108</v>
      </c>
      <c r="AV38" s="120"/>
    </row>
    <row r="39" spans="3:52" ht="15" customHeight="1" thickTop="1" thickBot="1" x14ac:dyDescent="0.2">
      <c r="C39" s="48"/>
      <c r="E39" s="159"/>
      <c r="F39" s="162" t="s">
        <v>188</v>
      </c>
      <c r="G39" s="159"/>
      <c r="H39" s="190"/>
      <c r="I39" s="160"/>
      <c r="J39" s="159"/>
      <c r="K39" s="159"/>
      <c r="L39" s="247">
        <f>+Z31</f>
        <v>-91000</v>
      </c>
      <c r="M39" s="250"/>
      <c r="N39" s="251"/>
      <c r="O39" s="271" t="s">
        <v>62</v>
      </c>
      <c r="P39" s="272"/>
      <c r="Q39" s="247">
        <f>+P23</f>
        <v>0</v>
      </c>
      <c r="R39" s="250"/>
      <c r="S39" s="251"/>
      <c r="T39" s="271" t="s">
        <v>63</v>
      </c>
      <c r="U39" s="272"/>
      <c r="V39" s="247">
        <f>+X23</f>
        <v>0</v>
      </c>
      <c r="W39" s="250"/>
      <c r="X39" s="251"/>
      <c r="Y39" s="271" t="s">
        <v>51</v>
      </c>
      <c r="Z39" s="282"/>
      <c r="AA39" s="260" t="e">
        <f>+AL40</f>
        <v>#DIV/0!</v>
      </c>
      <c r="AB39" s="283"/>
      <c r="AC39" s="284"/>
      <c r="AD39" s="159"/>
      <c r="AE39" s="159"/>
      <c r="AG39" s="75"/>
      <c r="AH39" s="266" t="e">
        <f>+L39*Q39/V39</f>
        <v>#DIV/0!</v>
      </c>
      <c r="AI39" s="267"/>
      <c r="AJ39" s="268"/>
      <c r="AL39" s="288" t="e">
        <f>ROUNDDOWN(Q39/V39,6)</f>
        <v>#DIV/0!</v>
      </c>
      <c r="AM39" s="289"/>
      <c r="AN39" s="290"/>
      <c r="AP39" s="285" t="e">
        <f>+S17-AH39</f>
        <v>#DIV/0!</v>
      </c>
      <c r="AQ39" s="286"/>
      <c r="AR39" s="287"/>
      <c r="AT39" s="285" t="e">
        <f>+AP39+AH57/12</f>
        <v>#DIV/0!</v>
      </c>
      <c r="AU39" s="286"/>
      <c r="AV39" s="287"/>
    </row>
    <row r="40" spans="3:52" ht="15" customHeight="1" thickTop="1" thickBot="1" x14ac:dyDescent="0.2">
      <c r="C40" s="48"/>
      <c r="E40" s="159"/>
      <c r="F40" s="18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91" t="str">
        <f>IF(L39&lt;S17,"","注）３号厚年の全額停止")</f>
        <v/>
      </c>
      <c r="AA40" s="159"/>
      <c r="AB40" s="159"/>
      <c r="AC40" s="159"/>
      <c r="AD40" s="159"/>
      <c r="AE40" s="159"/>
      <c r="AG40" s="75"/>
      <c r="AL40" s="266" t="e">
        <f>+AL39*L39</f>
        <v>#DIV/0!</v>
      </c>
      <c r="AM40" s="267"/>
      <c r="AN40" s="268"/>
    </row>
    <row r="41" spans="3:52" ht="15" customHeight="1" thickTop="1" thickBot="1" x14ac:dyDescent="0.2">
      <c r="C41" s="48"/>
      <c r="E41" s="159"/>
      <c r="F41" s="159"/>
      <c r="G41" s="159"/>
      <c r="H41" s="159"/>
      <c r="I41" s="173"/>
      <c r="J41" s="159"/>
      <c r="K41" s="159"/>
      <c r="L41" s="159"/>
      <c r="M41" s="173"/>
      <c r="N41" s="159"/>
      <c r="O41" s="159"/>
      <c r="P41" s="159"/>
      <c r="Q41" s="159"/>
      <c r="R41" s="159"/>
      <c r="S41" s="173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G41" s="75"/>
      <c r="AL41" s="266" t="e">
        <f>+AL40*12</f>
        <v>#DIV/0!</v>
      </c>
      <c r="AM41" s="267"/>
      <c r="AN41" s="268"/>
    </row>
    <row r="42" spans="3:52" ht="15" customHeight="1" thickTop="1" x14ac:dyDescent="0.15">
      <c r="C42" s="48"/>
      <c r="E42" s="159"/>
      <c r="F42" s="159"/>
      <c r="G42" s="159"/>
      <c r="H42" s="159"/>
      <c r="I42" s="159"/>
      <c r="J42" s="159"/>
      <c r="K42" s="159"/>
      <c r="L42" s="159"/>
      <c r="M42" s="173"/>
      <c r="N42" s="159"/>
      <c r="O42" s="159"/>
      <c r="P42" s="159"/>
      <c r="Q42" s="159"/>
      <c r="R42" s="159"/>
      <c r="S42" s="173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G42" s="75"/>
    </row>
    <row r="43" spans="3:52" ht="15" customHeight="1" x14ac:dyDescent="0.15">
      <c r="C43" s="48"/>
      <c r="E43" s="159"/>
      <c r="F43" s="189"/>
      <c r="G43" s="159"/>
      <c r="H43" s="159"/>
      <c r="I43" s="159"/>
      <c r="J43" s="159"/>
      <c r="K43" s="159"/>
      <c r="L43" s="159"/>
      <c r="M43" s="173"/>
      <c r="N43" s="159"/>
      <c r="O43" s="159"/>
      <c r="P43" s="159"/>
      <c r="Q43" s="159"/>
      <c r="R43" s="159"/>
      <c r="S43" s="173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G43" s="75"/>
    </row>
    <row r="44" spans="3:52" ht="15" customHeight="1" x14ac:dyDescent="0.15">
      <c r="C44" s="48"/>
      <c r="E44" s="176" t="s">
        <v>161</v>
      </c>
      <c r="F44" s="162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G44" s="75"/>
      <c r="AJ44" s="34"/>
    </row>
    <row r="45" spans="3:52" ht="15" customHeight="1" x14ac:dyDescent="0.15">
      <c r="C45" s="48"/>
      <c r="E45" s="192"/>
      <c r="F45" s="162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G45" s="75"/>
      <c r="AJ45" s="34"/>
    </row>
    <row r="46" spans="3:52" ht="15" customHeight="1" thickBot="1" x14ac:dyDescent="0.2">
      <c r="C46" s="48"/>
      <c r="E46" s="159"/>
      <c r="F46" s="162" t="s">
        <v>40</v>
      </c>
      <c r="G46" s="159"/>
      <c r="H46" s="159"/>
      <c r="I46" s="159"/>
      <c r="J46" s="159"/>
      <c r="K46" s="159"/>
      <c r="L46" s="163"/>
      <c r="M46" s="160" t="s">
        <v>75</v>
      </c>
      <c r="N46" s="163"/>
      <c r="O46" s="159"/>
      <c r="P46" s="165"/>
      <c r="Q46" s="159"/>
      <c r="R46" s="159"/>
      <c r="S46" s="173"/>
      <c r="T46" s="159"/>
      <c r="U46" s="159"/>
      <c r="V46" s="165"/>
      <c r="W46" s="160" t="s">
        <v>74</v>
      </c>
      <c r="X46" s="166"/>
      <c r="Y46" s="159"/>
      <c r="Z46" s="159"/>
      <c r="AA46" s="159"/>
      <c r="AB46" s="159"/>
      <c r="AC46" s="159"/>
      <c r="AD46" s="159"/>
      <c r="AE46" s="159"/>
      <c r="AG46" s="75"/>
      <c r="AH46" s="121"/>
      <c r="AI46" s="65" t="s">
        <v>104</v>
      </c>
      <c r="AJ46" s="95"/>
      <c r="AL46" s="38"/>
      <c r="AM46" s="136" t="s">
        <v>203</v>
      </c>
      <c r="AN46" s="38"/>
      <c r="AP46" s="120"/>
      <c r="AQ46" s="111" t="s">
        <v>139</v>
      </c>
      <c r="AR46" s="54"/>
      <c r="AS46" s="55"/>
      <c r="AT46" s="54"/>
      <c r="AU46" s="111" t="s">
        <v>108</v>
      </c>
      <c r="AV46" s="120"/>
      <c r="AX46" s="38"/>
      <c r="AY46" s="136" t="s">
        <v>203</v>
      </c>
      <c r="AZ46" s="38"/>
    </row>
    <row r="47" spans="3:52" ht="15" customHeight="1" thickTop="1" thickBot="1" x14ac:dyDescent="0.2">
      <c r="C47" s="48"/>
      <c r="E47" s="159"/>
      <c r="F47" s="162" t="s">
        <v>188</v>
      </c>
      <c r="G47" s="159"/>
      <c r="H47" s="159"/>
      <c r="I47" s="159"/>
      <c r="J47" s="159"/>
      <c r="K47" s="159"/>
      <c r="L47" s="247" t="e">
        <f>+AA39</f>
        <v>#DIV/0!</v>
      </c>
      <c r="M47" s="248"/>
      <c r="N47" s="249"/>
      <c r="O47" s="294" t="s">
        <v>183</v>
      </c>
      <c r="P47" s="295"/>
      <c r="Q47" s="296"/>
      <c r="R47" s="297"/>
      <c r="S47" s="297"/>
      <c r="T47" s="297"/>
      <c r="U47" s="298"/>
      <c r="V47" s="260" t="e">
        <f>IF(K31=Z31,L17,ROUNDDOWN(L47*12,0))</f>
        <v>#DIV/0!</v>
      </c>
      <c r="W47" s="261"/>
      <c r="X47" s="262"/>
      <c r="Y47" s="159"/>
      <c r="Z47" s="159"/>
      <c r="AA47" s="159"/>
      <c r="AB47" s="159"/>
      <c r="AC47" s="159"/>
      <c r="AD47" s="159"/>
      <c r="AE47" s="159"/>
      <c r="AG47" s="75"/>
      <c r="AH47" s="276" t="e">
        <f>+L47*12</f>
        <v>#DIV/0!</v>
      </c>
      <c r="AI47" s="277"/>
      <c r="AJ47" s="278"/>
      <c r="AL47" s="291" t="e">
        <f>+算定シート1!D57</f>
        <v>#DIV/0!</v>
      </c>
      <c r="AM47" s="292"/>
      <c r="AN47" s="293"/>
      <c r="AP47" s="285" t="e">
        <f>+L17-AH57-V47</f>
        <v>#DIV/0!</v>
      </c>
      <c r="AQ47" s="286"/>
      <c r="AR47" s="287"/>
      <c r="AT47" s="285" t="e">
        <f>+AP47+AH57</f>
        <v>#DIV/0!</v>
      </c>
      <c r="AU47" s="286"/>
      <c r="AV47" s="287"/>
      <c r="AX47" s="291" t="e">
        <f>+算定シート1!D58</f>
        <v>#DIV/0!</v>
      </c>
      <c r="AY47" s="292"/>
      <c r="AZ47" s="293"/>
    </row>
    <row r="48" spans="3:52" ht="15" customHeight="1" x14ac:dyDescent="0.15">
      <c r="C48" s="48"/>
      <c r="E48" s="159"/>
      <c r="F48" s="159"/>
      <c r="G48" s="159"/>
      <c r="H48" s="159"/>
      <c r="I48" s="159"/>
      <c r="J48" s="159"/>
      <c r="K48" s="159"/>
      <c r="L48" s="159"/>
      <c r="M48" s="186"/>
      <c r="N48" s="187"/>
      <c r="O48" s="187"/>
      <c r="P48" s="193"/>
      <c r="Q48" s="182"/>
      <c r="R48" s="182"/>
      <c r="S48" s="173"/>
      <c r="T48" s="159"/>
      <c r="U48" s="187"/>
      <c r="V48" s="159"/>
      <c r="W48" s="167" t="e">
        <f>IF(V47=L17,AI50,AI49)</f>
        <v>#DIV/0!</v>
      </c>
      <c r="X48" s="159"/>
      <c r="Y48" s="159"/>
      <c r="Z48" s="159"/>
      <c r="AA48" s="159"/>
      <c r="AB48" s="159"/>
      <c r="AC48" s="159"/>
      <c r="AD48" s="159"/>
      <c r="AE48" s="159"/>
      <c r="AG48" s="75"/>
      <c r="AJ48" s="34"/>
    </row>
    <row r="49" spans="3:44" ht="15" customHeight="1" x14ac:dyDescent="0.15">
      <c r="C49" s="48"/>
      <c r="E49" s="159"/>
      <c r="F49" s="159"/>
      <c r="G49" s="159"/>
      <c r="H49" s="159"/>
      <c r="I49" s="159"/>
      <c r="J49" s="159"/>
      <c r="K49" s="159"/>
      <c r="L49" s="159"/>
      <c r="M49" s="186"/>
      <c r="N49" s="187"/>
      <c r="O49" s="187"/>
      <c r="P49" s="193"/>
      <c r="Q49" s="182"/>
      <c r="R49" s="182"/>
      <c r="S49" s="167"/>
      <c r="T49" s="159"/>
      <c r="U49" s="187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G49" s="75"/>
      <c r="AI49" s="105" t="s">
        <v>76</v>
      </c>
      <c r="AJ49" s="34"/>
    </row>
    <row r="50" spans="3:44" ht="15" customHeight="1" thickBot="1" x14ac:dyDescent="0.2">
      <c r="C50" s="48"/>
      <c r="E50" s="159"/>
      <c r="F50" s="162" t="s">
        <v>40</v>
      </c>
      <c r="G50" s="159"/>
      <c r="H50" s="159"/>
      <c r="I50" s="159"/>
      <c r="J50" s="159"/>
      <c r="K50" s="159"/>
      <c r="L50" s="163"/>
      <c r="M50" s="164" t="s">
        <v>153</v>
      </c>
      <c r="N50" s="163"/>
      <c r="O50" s="159"/>
      <c r="P50" s="159"/>
      <c r="Q50" s="162"/>
      <c r="R50" s="160" t="s">
        <v>74</v>
      </c>
      <c r="S50" s="160"/>
      <c r="T50" s="159"/>
      <c r="U50" s="159"/>
      <c r="V50" s="160"/>
      <c r="W50" s="160" t="s">
        <v>151</v>
      </c>
      <c r="X50" s="160"/>
      <c r="Y50" s="159"/>
      <c r="Z50" s="160"/>
      <c r="AA50" s="159"/>
      <c r="AB50" s="159"/>
      <c r="AC50" s="159"/>
      <c r="AD50" s="159"/>
      <c r="AE50" s="159"/>
      <c r="AG50" s="75"/>
      <c r="AI50" s="105" t="s">
        <v>182</v>
      </c>
      <c r="AJ50" s="34"/>
    </row>
    <row r="51" spans="3:44" ht="15" customHeight="1" thickTop="1" thickBot="1" x14ac:dyDescent="0.2">
      <c r="C51" s="48"/>
      <c r="E51" s="159"/>
      <c r="F51" s="162" t="s">
        <v>189</v>
      </c>
      <c r="G51" s="159"/>
      <c r="H51" s="159"/>
      <c r="I51" s="159"/>
      <c r="J51" s="159"/>
      <c r="K51" s="159"/>
      <c r="L51" s="247">
        <f>+L17</f>
        <v>0</v>
      </c>
      <c r="M51" s="248"/>
      <c r="N51" s="249"/>
      <c r="O51" s="299" t="s">
        <v>43</v>
      </c>
      <c r="P51" s="300"/>
      <c r="Q51" s="247" t="e">
        <f>+V47</f>
        <v>#DIV/0!</v>
      </c>
      <c r="R51" s="250"/>
      <c r="S51" s="251"/>
      <c r="T51" s="299" t="s">
        <v>51</v>
      </c>
      <c r="U51" s="298"/>
      <c r="V51" s="260" t="e">
        <f>+L51-Q51</f>
        <v>#DIV/0!</v>
      </c>
      <c r="W51" s="261"/>
      <c r="X51" s="262"/>
      <c r="Y51" s="159"/>
      <c r="Z51" s="159"/>
      <c r="AA51" s="159"/>
      <c r="AB51" s="159"/>
      <c r="AC51" s="159"/>
      <c r="AD51" s="159"/>
      <c r="AE51" s="159"/>
      <c r="AG51" s="75"/>
      <c r="AJ51" s="34"/>
    </row>
    <row r="52" spans="3:44" ht="15" customHeight="1" x14ac:dyDescent="0.15">
      <c r="C52" s="48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G52" s="75"/>
      <c r="AJ52" s="34"/>
    </row>
    <row r="53" spans="3:44" ht="15" customHeight="1" x14ac:dyDescent="0.15">
      <c r="C53" s="48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G53" s="75"/>
      <c r="AJ53" s="34"/>
    </row>
    <row r="54" spans="3:44" ht="15" customHeight="1" x14ac:dyDescent="0.15">
      <c r="C54" s="48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G54" s="75"/>
      <c r="AJ54" s="34"/>
      <c r="AK54" s="301" t="s">
        <v>159</v>
      </c>
      <c r="AL54" s="302"/>
      <c r="AM54" s="302"/>
      <c r="AN54" s="302"/>
      <c r="AO54" s="302"/>
      <c r="AP54" s="302"/>
      <c r="AQ54" s="302"/>
      <c r="AR54" s="302"/>
    </row>
    <row r="55" spans="3:44" ht="15" customHeight="1" x14ac:dyDescent="0.15">
      <c r="C55" s="48"/>
      <c r="E55" s="194" t="s">
        <v>59</v>
      </c>
      <c r="F55" s="159"/>
      <c r="G55" s="159"/>
      <c r="H55" s="159"/>
      <c r="I55" s="159"/>
      <c r="J55" s="159"/>
      <c r="K55" s="159"/>
      <c r="L55" s="159"/>
      <c r="M55" s="159"/>
      <c r="N55" s="173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G55" s="75"/>
      <c r="AJ55" s="34"/>
      <c r="AK55" s="302"/>
      <c r="AL55" s="302"/>
      <c r="AM55" s="302"/>
      <c r="AN55" s="302"/>
      <c r="AO55" s="302"/>
      <c r="AP55" s="302"/>
      <c r="AQ55" s="302"/>
      <c r="AR55" s="302"/>
    </row>
    <row r="56" spans="3:44" ht="15" customHeight="1" thickBot="1" x14ac:dyDescent="0.2">
      <c r="C56" s="48"/>
      <c r="E56" s="159"/>
      <c r="F56" s="303" t="s">
        <v>157</v>
      </c>
      <c r="G56" s="246"/>
      <c r="H56" s="246"/>
      <c r="I56" s="297"/>
      <c r="J56" s="159"/>
      <c r="K56" s="159"/>
      <c r="L56" s="160"/>
      <c r="M56" s="160" t="s">
        <v>194</v>
      </c>
      <c r="N56" s="160"/>
      <c r="O56" s="159"/>
      <c r="P56" s="159"/>
      <c r="Q56" s="179"/>
      <c r="R56" s="160" t="s">
        <v>158</v>
      </c>
      <c r="S56" s="164"/>
      <c r="T56" s="159"/>
      <c r="U56" s="159"/>
      <c r="V56" s="160"/>
      <c r="W56" s="160" t="s">
        <v>156</v>
      </c>
      <c r="X56" s="160"/>
      <c r="Y56" s="159"/>
      <c r="Z56" s="159"/>
      <c r="AA56" s="159"/>
      <c r="AB56" s="159"/>
      <c r="AC56" s="159"/>
      <c r="AD56" s="159"/>
      <c r="AE56" s="159"/>
      <c r="AG56" s="75"/>
      <c r="AH56" s="119"/>
      <c r="AI56" s="37" t="s">
        <v>69</v>
      </c>
      <c r="AJ56" s="37"/>
      <c r="AK56" s="64"/>
      <c r="AL56" s="119"/>
      <c r="AM56" s="37" t="s">
        <v>155</v>
      </c>
      <c r="AN56" s="37"/>
    </row>
    <row r="57" spans="3:44" ht="15" customHeight="1" thickTop="1" thickBot="1" x14ac:dyDescent="0.2">
      <c r="C57" s="48"/>
      <c r="E57" s="159"/>
      <c r="F57" s="246"/>
      <c r="G57" s="246"/>
      <c r="H57" s="246"/>
      <c r="I57" s="297"/>
      <c r="J57" s="159"/>
      <c r="K57" s="159"/>
      <c r="L57" s="247" t="e">
        <f>+V51</f>
        <v>#DIV/0!</v>
      </c>
      <c r="M57" s="248"/>
      <c r="N57" s="249"/>
      <c r="O57" s="304" t="s">
        <v>50</v>
      </c>
      <c r="P57" s="300"/>
      <c r="Q57" s="247">
        <f>+AL57</f>
        <v>0</v>
      </c>
      <c r="R57" s="250"/>
      <c r="S57" s="251"/>
      <c r="T57" s="299" t="s">
        <v>51</v>
      </c>
      <c r="U57" s="298"/>
      <c r="V57" s="260" t="e">
        <f>+L57+Q57</f>
        <v>#DIV/0!</v>
      </c>
      <c r="W57" s="261"/>
      <c r="X57" s="262"/>
      <c r="Y57" s="159"/>
      <c r="Z57" s="159"/>
      <c r="AA57" s="159"/>
      <c r="AB57" s="159"/>
      <c r="AC57" s="159"/>
      <c r="AD57" s="159"/>
      <c r="AE57" s="159"/>
      <c r="AG57" s="75"/>
      <c r="AH57" s="305">
        <f>IF(入力シート!C19=1,0,入力シート!E9)</f>
        <v>0</v>
      </c>
      <c r="AI57" s="306"/>
      <c r="AJ57" s="307"/>
      <c r="AL57" s="305">
        <f>ROUNDDOWN(AH57,0)</f>
        <v>0</v>
      </c>
      <c r="AM57" s="306"/>
      <c r="AN57" s="307"/>
    </row>
    <row r="58" spans="3:44" ht="15" customHeight="1" x14ac:dyDescent="0.15">
      <c r="C58" s="48"/>
      <c r="E58" s="159"/>
      <c r="F58" s="159"/>
      <c r="G58" s="159"/>
      <c r="H58" s="159"/>
      <c r="I58" s="173"/>
      <c r="J58" s="159"/>
      <c r="K58" s="159"/>
      <c r="L58" s="159"/>
      <c r="M58" s="186"/>
      <c r="N58" s="187"/>
      <c r="O58" s="187"/>
      <c r="P58" s="193"/>
      <c r="Q58" s="182"/>
      <c r="R58" s="182"/>
      <c r="S58" s="167"/>
      <c r="T58" s="159"/>
      <c r="U58" s="187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G58" s="75"/>
      <c r="AJ58" s="34"/>
    </row>
    <row r="59" spans="3:44" ht="15" customHeight="1" x14ac:dyDescent="0.15">
      <c r="C59" s="48"/>
      <c r="E59" s="159"/>
      <c r="F59" s="159"/>
      <c r="G59" s="159"/>
      <c r="H59" s="159"/>
      <c r="I59" s="173"/>
      <c r="J59" s="159"/>
      <c r="K59" s="159"/>
      <c r="L59" s="186"/>
      <c r="M59" s="187"/>
      <c r="N59" s="187"/>
      <c r="O59" s="193"/>
      <c r="P59" s="182"/>
      <c r="Q59" s="182"/>
      <c r="R59" s="167"/>
      <c r="S59" s="159"/>
      <c r="T59" s="187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G59" s="75"/>
      <c r="AJ59" s="34"/>
    </row>
    <row r="60" spans="3:44" ht="15" customHeight="1" x14ac:dyDescent="0.15">
      <c r="C60" s="48"/>
      <c r="E60" s="159"/>
      <c r="F60" s="159"/>
      <c r="G60" s="159"/>
      <c r="H60" s="159"/>
      <c r="I60" s="173"/>
      <c r="J60" s="159"/>
      <c r="K60" s="159"/>
      <c r="L60" s="186"/>
      <c r="M60" s="187"/>
      <c r="N60" s="187"/>
      <c r="O60" s="193"/>
      <c r="P60" s="182"/>
      <c r="Q60" s="182"/>
      <c r="R60" s="167"/>
      <c r="S60" s="159"/>
      <c r="T60" s="187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G60" s="75"/>
      <c r="AJ60" s="34"/>
    </row>
    <row r="61" spans="3:44" ht="15" customHeight="1" x14ac:dyDescent="0.15">
      <c r="C61" s="48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G61" s="75"/>
      <c r="AJ61" s="34"/>
    </row>
    <row r="62" spans="3:44" ht="15" customHeight="1" x14ac:dyDescent="0.15">
      <c r="C62" s="48"/>
      <c r="E62" s="159"/>
      <c r="F62" s="195" t="s">
        <v>71</v>
      </c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G62" s="75"/>
    </row>
    <row r="63" spans="3:44" ht="15" hidden="1" customHeight="1" x14ac:dyDescent="0.15">
      <c r="C63" s="48"/>
      <c r="AG63" s="75"/>
    </row>
    <row r="64" spans="3:44" ht="13.5" hidden="1" customHeight="1" x14ac:dyDescent="0.15">
      <c r="AJ64" s="34"/>
    </row>
    <row r="65" spans="6:36" ht="13.5" hidden="1" customHeight="1" thickBot="1" x14ac:dyDescent="0.2">
      <c r="G65" s="118" t="s">
        <v>144</v>
      </c>
      <c r="I65" s="35"/>
      <c r="J65" s="115"/>
      <c r="L65" s="117"/>
      <c r="N65" s="115"/>
      <c r="P65" s="117"/>
      <c r="Q65" s="114" t="s">
        <v>40</v>
      </c>
      <c r="R65" s="115"/>
      <c r="T65" s="117"/>
      <c r="AI65" s="38" t="s">
        <v>68</v>
      </c>
      <c r="AJ65" s="34"/>
    </row>
    <row r="66" spans="6:36" ht="13.5" hidden="1" customHeight="1" thickBot="1" x14ac:dyDescent="0.2">
      <c r="I66" s="114" t="s">
        <v>145</v>
      </c>
      <c r="K66" s="116" t="s">
        <v>141</v>
      </c>
      <c r="M66" s="308" t="e">
        <f>+S17-L47</f>
        <v>#DIV/0!</v>
      </c>
      <c r="N66" s="309"/>
      <c r="O66" s="310"/>
      <c r="Q66" s="112"/>
      <c r="AJ66" s="34"/>
    </row>
    <row r="67" spans="6:36" ht="14.25" hidden="1" thickBot="1" x14ac:dyDescent="0.2">
      <c r="I67" s="35"/>
      <c r="J67" s="34"/>
      <c r="K67" s="116" t="s">
        <v>142</v>
      </c>
      <c r="L67" s="113"/>
      <c r="M67" s="308" t="e">
        <f>+S17-L47+AH57/12</f>
        <v>#DIV/0!</v>
      </c>
      <c r="N67" s="309"/>
      <c r="O67" s="310"/>
      <c r="P67" s="34"/>
      <c r="Q67" s="34"/>
      <c r="AJ67" s="34"/>
    </row>
    <row r="68" spans="6:36" ht="14.25" hidden="1" thickBot="1" x14ac:dyDescent="0.2">
      <c r="I68" s="35"/>
      <c r="J68" s="34"/>
      <c r="K68" s="116" t="s">
        <v>143</v>
      </c>
      <c r="L68" s="100"/>
      <c r="M68" s="308" t="e">
        <f>+L17-V47</f>
        <v>#DIV/0!</v>
      </c>
      <c r="N68" s="309"/>
      <c r="O68" s="310"/>
      <c r="P68" s="34"/>
      <c r="Q68" s="34"/>
    </row>
    <row r="69" spans="6:36" hidden="1" x14ac:dyDescent="0.15">
      <c r="I69" s="35"/>
      <c r="J69" s="34"/>
      <c r="K69" s="34"/>
      <c r="M69" s="30"/>
      <c r="S69" s="30"/>
    </row>
    <row r="70" spans="6:36" hidden="1" x14ac:dyDescent="0.15">
      <c r="I70" s="30"/>
      <c r="M70" s="30"/>
      <c r="S70" s="30"/>
    </row>
    <row r="71" spans="6:36" hidden="1" x14ac:dyDescent="0.15">
      <c r="I71" s="30"/>
      <c r="M71" s="30"/>
      <c r="S71" s="30"/>
    </row>
    <row r="72" spans="6:36" hidden="1" x14ac:dyDescent="0.15">
      <c r="I72" s="30"/>
      <c r="M72" s="30"/>
      <c r="S72" s="30"/>
    </row>
    <row r="73" spans="6:36" hidden="1" x14ac:dyDescent="0.15"/>
    <row r="74" spans="6:36" hidden="1" x14ac:dyDescent="0.15">
      <c r="AB74" s="38"/>
    </row>
    <row r="75" spans="6:36" hidden="1" x14ac:dyDescent="0.15">
      <c r="AB75" s="38"/>
    </row>
    <row r="76" spans="6:36" hidden="1" x14ac:dyDescent="0.15">
      <c r="F76" s="45"/>
      <c r="G76" s="38"/>
      <c r="H76" s="46"/>
      <c r="I76" s="120"/>
      <c r="J76" s="45"/>
      <c r="K76" s="46"/>
      <c r="L76" s="45"/>
      <c r="M76" s="46"/>
      <c r="N76" s="46"/>
      <c r="O76" s="38"/>
      <c r="P76" s="45"/>
      <c r="Q76" s="46"/>
      <c r="R76" s="46"/>
      <c r="S76" s="38"/>
      <c r="T76" s="45"/>
      <c r="U76" s="46"/>
      <c r="V76" s="46"/>
      <c r="W76" s="120"/>
      <c r="X76" s="45"/>
      <c r="Y76" s="105"/>
      <c r="Z76" s="46"/>
      <c r="AA76" s="38"/>
      <c r="AB76" s="38"/>
    </row>
    <row r="77" spans="6:36" hidden="1" x14ac:dyDescent="0.15"/>
    <row r="78" spans="6:36" hidden="1" x14ac:dyDescent="0.15"/>
    <row r="79" spans="6:36" hidden="1" x14ac:dyDescent="0.15">
      <c r="F79" s="38" t="s">
        <v>61</v>
      </c>
      <c r="G79" s="46"/>
      <c r="H79" s="46"/>
      <c r="I79" s="120"/>
      <c r="J79" s="45"/>
      <c r="K79" s="46"/>
      <c r="L79" s="120"/>
      <c r="M79" s="120" t="s">
        <v>41</v>
      </c>
      <c r="N79" s="120"/>
      <c r="O79" s="121"/>
      <c r="P79" s="121"/>
      <c r="Q79" s="120" t="s">
        <v>77</v>
      </c>
      <c r="R79" s="95"/>
      <c r="S79" s="120"/>
      <c r="T79" s="45"/>
      <c r="U79" s="120" t="s">
        <v>70</v>
      </c>
      <c r="V79" s="46"/>
      <c r="W79" s="120"/>
      <c r="X79" s="120"/>
      <c r="Y79" s="120" t="s">
        <v>79</v>
      </c>
      <c r="Z79" s="120"/>
      <c r="AA79" s="38"/>
    </row>
    <row r="80" spans="6:36" hidden="1" x14ac:dyDescent="0.15">
      <c r="F80" s="45"/>
      <c r="G80" s="38"/>
      <c r="H80" s="46"/>
      <c r="I80" s="120"/>
      <c r="J80" s="38"/>
      <c r="K80" s="40" t="s">
        <v>78</v>
      </c>
      <c r="L80" s="273">
        <f>+Z31</f>
        <v>-91000</v>
      </c>
      <c r="M80" s="274"/>
      <c r="N80" s="275"/>
      <c r="O80" s="52" t="s">
        <v>62</v>
      </c>
      <c r="P80" s="273">
        <f>+S17</f>
        <v>0</v>
      </c>
      <c r="Q80" s="274"/>
      <c r="R80" s="275"/>
      <c r="S80" s="52" t="s">
        <v>63</v>
      </c>
      <c r="T80" s="273">
        <f>+K31</f>
        <v>0</v>
      </c>
      <c r="U80" s="274"/>
      <c r="V80" s="275"/>
      <c r="W80" s="122" t="s">
        <v>51</v>
      </c>
      <c r="X80" s="273" t="e">
        <f>ROUND(AM31,2)</f>
        <v>#DIV/0!</v>
      </c>
      <c r="Y80" s="274"/>
      <c r="Z80" s="275"/>
      <c r="AA80" s="38"/>
    </row>
    <row r="81" hidden="1" x14ac:dyDescent="0.15"/>
    <row r="82" hidden="1" x14ac:dyDescent="0.15"/>
    <row r="83" hidden="1" x14ac:dyDescent="0.15"/>
  </sheetData>
  <sheetProtection selectLockedCells="1"/>
  <mergeCells count="80">
    <mergeCell ref="X80:Z80"/>
    <mergeCell ref="M66:O66"/>
    <mergeCell ref="M67:O67"/>
    <mergeCell ref="M68:O68"/>
    <mergeCell ref="L80:N80"/>
    <mergeCell ref="P80:R80"/>
    <mergeCell ref="T80:V80"/>
    <mergeCell ref="AK54:AR55"/>
    <mergeCell ref="F56:I57"/>
    <mergeCell ref="L57:N57"/>
    <mergeCell ref="O57:P57"/>
    <mergeCell ref="Q57:S57"/>
    <mergeCell ref="T57:U57"/>
    <mergeCell ref="V57:X57"/>
    <mergeCell ref="AH57:AJ57"/>
    <mergeCell ref="AL57:AN57"/>
    <mergeCell ref="AP47:AR47"/>
    <mergeCell ref="AT47:AV47"/>
    <mergeCell ref="AX47:AZ47"/>
    <mergeCell ref="L51:N51"/>
    <mergeCell ref="O51:P51"/>
    <mergeCell ref="Q51:S51"/>
    <mergeCell ref="T51:U51"/>
    <mergeCell ref="V51:X51"/>
    <mergeCell ref="AL40:AN40"/>
    <mergeCell ref="AL41:AN41"/>
    <mergeCell ref="L47:N47"/>
    <mergeCell ref="V47:X47"/>
    <mergeCell ref="AH47:AJ47"/>
    <mergeCell ref="AL47:AN47"/>
    <mergeCell ref="O47:U47"/>
    <mergeCell ref="Y39:Z39"/>
    <mergeCell ref="AA39:AC39"/>
    <mergeCell ref="AH39:AJ39"/>
    <mergeCell ref="AP39:AR39"/>
    <mergeCell ref="AT39:AV39"/>
    <mergeCell ref="AL39:AN39"/>
    <mergeCell ref="AH35:AJ35"/>
    <mergeCell ref="AL35:AN35"/>
    <mergeCell ref="AP35:AR35"/>
    <mergeCell ref="AT35:AV35"/>
    <mergeCell ref="AH31:AJ31"/>
    <mergeCell ref="AM31:AO31"/>
    <mergeCell ref="G31:I31"/>
    <mergeCell ref="K31:M31"/>
    <mergeCell ref="O31:S31"/>
    <mergeCell ref="U31:W31"/>
    <mergeCell ref="L39:N39"/>
    <mergeCell ref="O39:P39"/>
    <mergeCell ref="Q39:S39"/>
    <mergeCell ref="T39:U39"/>
    <mergeCell ref="V39:X39"/>
    <mergeCell ref="Z31:AB31"/>
    <mergeCell ref="L17:N17"/>
    <mergeCell ref="O17:R17"/>
    <mergeCell ref="S17:U17"/>
    <mergeCell ref="AH17:AJ17"/>
    <mergeCell ref="L23:N23"/>
    <mergeCell ref="P23:R23"/>
    <mergeCell ref="L20:N20"/>
    <mergeCell ref="O20:R20"/>
    <mergeCell ref="S20:U20"/>
    <mergeCell ref="AH20:AJ20"/>
    <mergeCell ref="T23:V23"/>
    <mergeCell ref="X23:Z23"/>
    <mergeCell ref="AL17:AN17"/>
    <mergeCell ref="AL10:AN10"/>
    <mergeCell ref="L14:N14"/>
    <mergeCell ref="O14:R14"/>
    <mergeCell ref="S14:U14"/>
    <mergeCell ref="AH14:AJ14"/>
    <mergeCell ref="AL14:AN14"/>
    <mergeCell ref="AA10:AC10"/>
    <mergeCell ref="AH10:AJ10"/>
    <mergeCell ref="F4:AD5"/>
    <mergeCell ref="H10:J10"/>
    <mergeCell ref="L10:N10"/>
    <mergeCell ref="P10:R10"/>
    <mergeCell ref="T10:V10"/>
    <mergeCell ref="W10:Y10"/>
  </mergeCells>
  <phoneticPr fontId="2"/>
  <pageMargins left="0.7" right="0.7" top="0.75" bottom="0.75" header="0.3" footer="0.3"/>
  <pageSetup paperSize="9" scale="87" orientation="portrait" r:id="rId1"/>
  <colBreaks count="1" manualBreakCount="1">
    <brk id="31" max="44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2"/>
  <sheetViews>
    <sheetView workbookViewId="0">
      <selection activeCell="K33" sqref="K33"/>
    </sheetView>
  </sheetViews>
  <sheetFormatPr defaultRowHeight="13.5" x14ac:dyDescent="0.15"/>
  <cols>
    <col min="4" max="4" width="11" bestFit="1" customWidth="1"/>
  </cols>
  <sheetData>
    <row r="2" spans="1:4" x14ac:dyDescent="0.15">
      <c r="A2" s="1">
        <v>27</v>
      </c>
      <c r="B2" s="2">
        <v>10</v>
      </c>
      <c r="C2" s="3">
        <v>88000</v>
      </c>
      <c r="D2" s="1" t="s">
        <v>20</v>
      </c>
    </row>
    <row r="3" spans="1:4" x14ac:dyDescent="0.15">
      <c r="A3" s="1">
        <v>28</v>
      </c>
      <c r="B3" s="2">
        <v>11</v>
      </c>
      <c r="C3" s="3">
        <v>98000</v>
      </c>
      <c r="D3" s="1" t="s">
        <v>21</v>
      </c>
    </row>
    <row r="4" spans="1:4" x14ac:dyDescent="0.15">
      <c r="B4" s="2">
        <v>12</v>
      </c>
      <c r="C4" s="3">
        <v>104000</v>
      </c>
    </row>
    <row r="5" spans="1:4" x14ac:dyDescent="0.15">
      <c r="B5" s="2">
        <v>1</v>
      </c>
      <c r="C5" s="3">
        <v>110000</v>
      </c>
    </row>
    <row r="6" spans="1:4" x14ac:dyDescent="0.15">
      <c r="B6" s="2">
        <v>2</v>
      </c>
      <c r="C6" s="3">
        <v>118000</v>
      </c>
    </row>
    <row r="7" spans="1:4" x14ac:dyDescent="0.15">
      <c r="B7" s="2">
        <v>3</v>
      </c>
      <c r="C7" s="3">
        <v>126000</v>
      </c>
    </row>
    <row r="8" spans="1:4" x14ac:dyDescent="0.15">
      <c r="B8" s="2">
        <v>4</v>
      </c>
      <c r="C8" s="3">
        <v>134000</v>
      </c>
    </row>
    <row r="9" spans="1:4" x14ac:dyDescent="0.15">
      <c r="B9" s="2">
        <v>5</v>
      </c>
      <c r="C9" s="3">
        <v>142000</v>
      </c>
    </row>
    <row r="10" spans="1:4" x14ac:dyDescent="0.15">
      <c r="B10" s="2">
        <v>6</v>
      </c>
      <c r="C10" s="3">
        <v>150000</v>
      </c>
    </row>
    <row r="11" spans="1:4" x14ac:dyDescent="0.15">
      <c r="B11" s="2">
        <v>7</v>
      </c>
      <c r="C11" s="3">
        <v>160000</v>
      </c>
    </row>
    <row r="12" spans="1:4" x14ac:dyDescent="0.15">
      <c r="B12" s="2">
        <v>8</v>
      </c>
      <c r="C12" s="3">
        <v>170000</v>
      </c>
    </row>
    <row r="13" spans="1:4" x14ac:dyDescent="0.15">
      <c r="B13" s="2">
        <v>9</v>
      </c>
      <c r="C13" s="3">
        <v>180000</v>
      </c>
    </row>
    <row r="14" spans="1:4" x14ac:dyDescent="0.15">
      <c r="C14" s="3">
        <v>190000</v>
      </c>
    </row>
    <row r="15" spans="1:4" x14ac:dyDescent="0.15">
      <c r="C15" s="3">
        <v>200000</v>
      </c>
    </row>
    <row r="16" spans="1:4" x14ac:dyDescent="0.15">
      <c r="C16" s="3">
        <v>220000</v>
      </c>
    </row>
    <row r="17" spans="3:3" x14ac:dyDescent="0.15">
      <c r="C17" s="3">
        <v>240000</v>
      </c>
    </row>
    <row r="18" spans="3:3" x14ac:dyDescent="0.15">
      <c r="C18" s="3">
        <v>260000</v>
      </c>
    </row>
    <row r="19" spans="3:3" x14ac:dyDescent="0.15">
      <c r="C19" s="3">
        <v>280000</v>
      </c>
    </row>
    <row r="20" spans="3:3" x14ac:dyDescent="0.15">
      <c r="C20" s="3">
        <v>300000</v>
      </c>
    </row>
    <row r="21" spans="3:3" x14ac:dyDescent="0.15">
      <c r="C21" s="3">
        <v>320000</v>
      </c>
    </row>
    <row r="22" spans="3:3" x14ac:dyDescent="0.15">
      <c r="C22" s="3">
        <v>340000</v>
      </c>
    </row>
    <row r="23" spans="3:3" x14ac:dyDescent="0.15">
      <c r="C23" s="3">
        <v>360000</v>
      </c>
    </row>
    <row r="24" spans="3:3" x14ac:dyDescent="0.15">
      <c r="C24" s="3">
        <v>380000</v>
      </c>
    </row>
    <row r="25" spans="3:3" x14ac:dyDescent="0.15">
      <c r="C25" s="3">
        <v>410000</v>
      </c>
    </row>
    <row r="26" spans="3:3" x14ac:dyDescent="0.15">
      <c r="C26" s="3">
        <v>440000</v>
      </c>
    </row>
    <row r="27" spans="3:3" x14ac:dyDescent="0.15">
      <c r="C27" s="3">
        <v>470000</v>
      </c>
    </row>
    <row r="28" spans="3:3" x14ac:dyDescent="0.15">
      <c r="C28" s="3">
        <v>500000</v>
      </c>
    </row>
    <row r="29" spans="3:3" x14ac:dyDescent="0.15">
      <c r="C29" s="3">
        <v>530000</v>
      </c>
    </row>
    <row r="30" spans="3:3" x14ac:dyDescent="0.15">
      <c r="C30" s="3">
        <v>560000</v>
      </c>
    </row>
    <row r="31" spans="3:3" x14ac:dyDescent="0.15">
      <c r="C31" s="3">
        <v>590000</v>
      </c>
    </row>
    <row r="32" spans="3:3" x14ac:dyDescent="0.15">
      <c r="C32" s="3">
        <v>620000</v>
      </c>
    </row>
  </sheetData>
  <phoneticPr fontId="2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K33" sqref="K33"/>
    </sheetView>
  </sheetViews>
  <sheetFormatPr defaultRowHeight="13.5" x14ac:dyDescent="0.15"/>
  <cols>
    <col min="1" max="7" width="9" style="29"/>
    <col min="8" max="9" width="9.25" style="29" bestFit="1" customWidth="1"/>
    <col min="10" max="16384" width="9" style="29"/>
  </cols>
  <sheetData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Z78"/>
  <sheetViews>
    <sheetView topLeftCell="E22" zoomScaleNormal="100" zoomScaleSheetLayoutView="100" workbookViewId="0">
      <selection activeCell="BG9" sqref="BG9"/>
    </sheetView>
  </sheetViews>
  <sheetFormatPr defaultRowHeight="13.5" x14ac:dyDescent="0.15"/>
  <cols>
    <col min="1" max="4" width="3.625" style="30" hidden="1" customWidth="1"/>
    <col min="5" max="8" width="3.625" style="30" customWidth="1"/>
    <col min="9" max="9" width="3.625" style="31" customWidth="1"/>
    <col min="10" max="12" width="3.625" style="30" customWidth="1"/>
    <col min="13" max="13" width="3.625" style="31" customWidth="1"/>
    <col min="14" max="18" width="3.625" style="30" customWidth="1"/>
    <col min="19" max="19" width="3.625" style="31" customWidth="1"/>
    <col min="20" max="31" width="3.625" style="30" customWidth="1"/>
    <col min="32" max="52" width="3.625" style="30" hidden="1" customWidth="1"/>
    <col min="53" max="72" width="3.625" style="30" customWidth="1"/>
    <col min="73" max="16384" width="9" style="30"/>
  </cols>
  <sheetData>
    <row r="1" spans="1:40" ht="18.75" x14ac:dyDescent="0.15">
      <c r="A1" s="103" t="s">
        <v>82</v>
      </c>
      <c r="B1" s="103"/>
      <c r="C1" s="103"/>
      <c r="D1" s="103"/>
      <c r="E1" s="168" t="s">
        <v>197</v>
      </c>
      <c r="F1" s="169"/>
      <c r="G1" s="169"/>
      <c r="H1" s="170"/>
      <c r="I1" s="171"/>
      <c r="J1" s="172"/>
      <c r="K1" s="172"/>
      <c r="L1" s="172"/>
      <c r="M1" s="171"/>
      <c r="N1" s="159"/>
      <c r="O1" s="159"/>
      <c r="P1" s="159"/>
      <c r="Q1" s="159"/>
      <c r="R1" s="159"/>
      <c r="S1" s="173"/>
      <c r="T1" s="159"/>
      <c r="U1" s="159"/>
      <c r="V1" s="159" t="str">
        <f>IF(入力シート!C19=0,"一般","現職組合員")</f>
        <v>一般</v>
      </c>
      <c r="W1" s="159"/>
      <c r="X1" s="159"/>
      <c r="Y1" s="159"/>
      <c r="Z1" s="159"/>
      <c r="AA1" s="159"/>
      <c r="AB1" s="159"/>
      <c r="AC1" s="159"/>
      <c r="AD1" s="159"/>
      <c r="AE1" s="159"/>
    </row>
    <row r="2" spans="1:40" x14ac:dyDescent="0.15">
      <c r="E2" s="159" t="s">
        <v>281</v>
      </c>
      <c r="F2" s="159"/>
      <c r="G2" s="159"/>
      <c r="H2" s="159"/>
      <c r="I2" s="173"/>
      <c r="J2" s="159"/>
      <c r="K2" s="159"/>
      <c r="L2" s="159"/>
      <c r="M2" s="173"/>
      <c r="N2" s="159"/>
      <c r="O2" s="159"/>
      <c r="P2" s="159"/>
      <c r="Q2" s="159"/>
      <c r="R2" s="159"/>
      <c r="S2" s="173"/>
      <c r="T2" s="159"/>
      <c r="U2" s="159"/>
      <c r="V2" s="159"/>
      <c r="W2" s="159"/>
      <c r="X2" s="159"/>
      <c r="Y2" s="159"/>
      <c r="Z2" s="159"/>
      <c r="AA2" s="174" t="str">
        <f>+入力シート!J16</f>
        <v>0</v>
      </c>
      <c r="AB2" s="159"/>
      <c r="AC2" s="159"/>
      <c r="AD2" s="159"/>
      <c r="AE2" s="159"/>
    </row>
    <row r="3" spans="1:40" x14ac:dyDescent="0.15">
      <c r="C3" s="48"/>
      <c r="E3" s="159"/>
      <c r="F3" s="159"/>
      <c r="G3" s="159"/>
      <c r="H3" s="159"/>
      <c r="I3" s="173"/>
      <c r="J3" s="159"/>
      <c r="K3" s="159"/>
      <c r="L3" s="159"/>
      <c r="M3" s="173"/>
      <c r="N3" s="159"/>
      <c r="O3" s="159"/>
      <c r="P3" s="159"/>
      <c r="Q3" s="159"/>
      <c r="R3" s="159"/>
      <c r="S3" s="173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G3" s="75"/>
    </row>
    <row r="4" spans="1:40" ht="13.5" customHeight="1" x14ac:dyDescent="0.15">
      <c r="C4" s="48"/>
      <c r="E4" s="159"/>
      <c r="F4" s="245" t="s">
        <v>187</v>
      </c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159"/>
      <c r="AG4" s="75"/>
      <c r="AH4" s="44"/>
      <c r="AI4" s="140"/>
      <c r="AJ4" s="140"/>
    </row>
    <row r="5" spans="1:40" ht="13.5" customHeight="1" x14ac:dyDescent="0.15">
      <c r="C5" s="48"/>
      <c r="E5" s="159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159"/>
      <c r="AG5" s="75"/>
      <c r="AH5" s="141"/>
      <c r="AI5" s="142"/>
      <c r="AJ5" s="142"/>
    </row>
    <row r="6" spans="1:40" x14ac:dyDescent="0.15">
      <c r="C6" s="48"/>
      <c r="E6" s="159"/>
      <c r="F6" s="159"/>
      <c r="G6" s="159"/>
      <c r="H6" s="159"/>
      <c r="I6" s="173"/>
      <c r="J6" s="159"/>
      <c r="K6" s="159"/>
      <c r="L6" s="159"/>
      <c r="M6" s="173"/>
      <c r="N6" s="159"/>
      <c r="O6" s="159"/>
      <c r="P6" s="159"/>
      <c r="Q6" s="159"/>
      <c r="R6" s="159"/>
      <c r="S6" s="173"/>
      <c r="T6" s="159"/>
      <c r="U6" s="159"/>
      <c r="V6" s="159"/>
      <c r="W6" s="159"/>
      <c r="X6" s="159"/>
      <c r="Y6" s="159"/>
      <c r="Z6" s="159"/>
      <c r="AA6" s="175"/>
      <c r="AB6" s="159"/>
      <c r="AC6" s="159"/>
      <c r="AD6" s="159"/>
      <c r="AE6" s="159"/>
      <c r="AG6" s="75"/>
      <c r="AH6" s="113"/>
      <c r="AI6" s="113"/>
      <c r="AJ6" s="113"/>
    </row>
    <row r="7" spans="1:40" ht="17.25" x14ac:dyDescent="0.15">
      <c r="B7" s="30">
        <v>1</v>
      </c>
      <c r="C7" s="48"/>
      <c r="E7" s="176" t="s">
        <v>163</v>
      </c>
      <c r="F7" s="159"/>
      <c r="G7" s="159"/>
      <c r="H7" s="159"/>
      <c r="I7" s="173"/>
      <c r="J7" s="159"/>
      <c r="K7" s="159"/>
      <c r="L7" s="159"/>
      <c r="M7" s="173"/>
      <c r="N7" s="159"/>
      <c r="O7" s="159"/>
      <c r="P7" s="159"/>
      <c r="Q7" s="159"/>
      <c r="R7" s="159"/>
      <c r="S7" s="173"/>
      <c r="T7" s="159"/>
      <c r="U7" s="177" t="str">
        <f>IF(AA10&gt;Sheet3!B3,+Sheet3!E3,"")</f>
        <v/>
      </c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G7" s="75"/>
    </row>
    <row r="8" spans="1:40" ht="15" customHeight="1" x14ac:dyDescent="0.15">
      <c r="C8" s="48"/>
      <c r="E8" s="159"/>
      <c r="F8" s="159"/>
      <c r="G8" s="159"/>
      <c r="H8" s="159"/>
      <c r="I8" s="173"/>
      <c r="J8" s="159"/>
      <c r="K8" s="159"/>
      <c r="L8" s="159"/>
      <c r="M8" s="173"/>
      <c r="N8" s="159"/>
      <c r="O8" s="159"/>
      <c r="P8" s="159"/>
      <c r="Q8" s="159"/>
      <c r="R8" s="159"/>
      <c r="S8" s="173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G8" s="75"/>
      <c r="AI8" s="92"/>
    </row>
    <row r="9" spans="1:40" ht="15" customHeight="1" thickBot="1" x14ac:dyDescent="0.2">
      <c r="C9" s="48"/>
      <c r="E9" s="159"/>
      <c r="F9" s="159"/>
      <c r="G9" s="159"/>
      <c r="H9" s="162"/>
      <c r="I9" s="160" t="s">
        <v>1</v>
      </c>
      <c r="J9" s="160"/>
      <c r="K9" s="173"/>
      <c r="L9" s="162"/>
      <c r="M9" s="160" t="s">
        <v>36</v>
      </c>
      <c r="N9" s="160"/>
      <c r="O9" s="159"/>
      <c r="P9" s="162"/>
      <c r="Q9" s="160" t="s">
        <v>36</v>
      </c>
      <c r="R9" s="160"/>
      <c r="S9" s="159"/>
      <c r="T9" s="162"/>
      <c r="U9" s="160" t="s">
        <v>36</v>
      </c>
      <c r="V9" s="160"/>
      <c r="W9" s="159"/>
      <c r="X9" s="159"/>
      <c r="Y9" s="159"/>
      <c r="Z9" s="160"/>
      <c r="AA9" s="160"/>
      <c r="AB9" s="160" t="s">
        <v>181</v>
      </c>
      <c r="AC9" s="160"/>
      <c r="AD9" s="159"/>
      <c r="AE9" s="159"/>
      <c r="AG9" s="75"/>
      <c r="AH9" s="92"/>
      <c r="AI9" s="65" t="s">
        <v>99</v>
      </c>
      <c r="AJ9" s="92"/>
      <c r="AM9" s="136" t="s">
        <v>203</v>
      </c>
    </row>
    <row r="10" spans="1:40" ht="15" customHeight="1" thickTop="1" thickBot="1" x14ac:dyDescent="0.2">
      <c r="C10" s="48"/>
      <c r="E10" s="159"/>
      <c r="F10" s="162" t="s">
        <v>58</v>
      </c>
      <c r="G10" s="159"/>
      <c r="H10" s="247">
        <f>+入力シート!D6</f>
        <v>98000</v>
      </c>
      <c r="I10" s="248"/>
      <c r="J10" s="249"/>
      <c r="K10" s="178" t="s">
        <v>86</v>
      </c>
      <c r="L10" s="247">
        <f>+入力シート!E6</f>
        <v>0</v>
      </c>
      <c r="M10" s="250"/>
      <c r="N10" s="251"/>
      <c r="O10" s="163" t="s">
        <v>87</v>
      </c>
      <c r="P10" s="247">
        <f>+入力シート!F6</f>
        <v>0</v>
      </c>
      <c r="Q10" s="250"/>
      <c r="R10" s="251"/>
      <c r="S10" s="163" t="s">
        <v>87</v>
      </c>
      <c r="T10" s="247">
        <f>+入力シート!G6</f>
        <v>0</v>
      </c>
      <c r="U10" s="250"/>
      <c r="V10" s="251"/>
      <c r="W10" s="252" t="s">
        <v>88</v>
      </c>
      <c r="X10" s="253"/>
      <c r="Y10" s="253"/>
      <c r="Z10" s="163" t="s">
        <v>89</v>
      </c>
      <c r="AA10" s="260">
        <f>ROUNDDOWN(AH10,0)</f>
        <v>98000</v>
      </c>
      <c r="AB10" s="261"/>
      <c r="AC10" s="262"/>
      <c r="AD10" s="159"/>
      <c r="AE10" s="159"/>
      <c r="AG10" s="75"/>
      <c r="AH10" s="266">
        <f>+H10+(L10+P10+T10)/12</f>
        <v>98000</v>
      </c>
      <c r="AI10" s="267"/>
      <c r="AJ10" s="268"/>
      <c r="AL10" s="254">
        <f>+算定シート1!D19</f>
        <v>98000</v>
      </c>
      <c r="AM10" s="255"/>
      <c r="AN10" s="256"/>
    </row>
    <row r="11" spans="1:40" ht="15" customHeight="1" x14ac:dyDescent="0.15">
      <c r="C11" s="48"/>
      <c r="E11" s="159"/>
      <c r="F11" s="159"/>
      <c r="G11" s="159"/>
      <c r="H11" s="159"/>
      <c r="I11" s="173"/>
      <c r="J11" s="159"/>
      <c r="K11" s="159"/>
      <c r="L11" s="159"/>
      <c r="M11" s="173"/>
      <c r="N11" s="159"/>
      <c r="O11" s="159"/>
      <c r="P11" s="159"/>
      <c r="Q11" s="159"/>
      <c r="R11" s="159"/>
      <c r="S11" s="173"/>
      <c r="T11" s="159"/>
      <c r="U11" s="159"/>
      <c r="V11" s="159"/>
      <c r="W11" s="159"/>
      <c r="X11" s="159"/>
      <c r="Y11" s="159"/>
      <c r="Z11" s="159"/>
      <c r="AA11" s="159"/>
      <c r="AB11" s="167" t="s">
        <v>76</v>
      </c>
      <c r="AC11" s="159"/>
      <c r="AD11" s="159"/>
      <c r="AE11" s="159"/>
      <c r="AG11" s="75"/>
      <c r="AH11" s="79"/>
      <c r="AI11" s="79"/>
      <c r="AJ11" s="79"/>
      <c r="AL11" s="79"/>
      <c r="AM11" s="79"/>
      <c r="AN11" s="79"/>
    </row>
    <row r="12" spans="1:40" ht="15" customHeight="1" x14ac:dyDescent="0.15">
      <c r="C12" s="48"/>
      <c r="E12" s="159"/>
      <c r="F12" s="159"/>
      <c r="G12" s="159"/>
      <c r="H12" s="159"/>
      <c r="I12" s="173"/>
      <c r="J12" s="159"/>
      <c r="K12" s="159"/>
      <c r="L12" s="159"/>
      <c r="M12" s="173"/>
      <c r="N12" s="159"/>
      <c r="O12" s="159"/>
      <c r="P12" s="159"/>
      <c r="Q12" s="159"/>
      <c r="R12" s="159"/>
      <c r="S12" s="173"/>
      <c r="T12" s="159"/>
      <c r="U12" s="159"/>
      <c r="V12" s="159"/>
      <c r="W12" s="159"/>
      <c r="X12" s="159"/>
      <c r="Y12" s="159"/>
      <c r="Z12" s="159"/>
      <c r="AA12" s="159"/>
      <c r="AB12" s="167"/>
      <c r="AC12" s="159"/>
      <c r="AD12" s="159"/>
      <c r="AE12" s="159"/>
      <c r="AG12" s="75"/>
      <c r="AH12" s="79"/>
      <c r="AI12" s="79"/>
      <c r="AJ12" s="79"/>
      <c r="AL12" s="79"/>
      <c r="AM12" s="79"/>
      <c r="AN12" s="79"/>
    </row>
    <row r="13" spans="1:40" ht="15" customHeight="1" thickBot="1" x14ac:dyDescent="0.2">
      <c r="C13" s="48"/>
      <c r="E13" s="159"/>
      <c r="F13" s="159"/>
      <c r="G13" s="159"/>
      <c r="H13" s="159"/>
      <c r="I13" s="173"/>
      <c r="J13" s="159"/>
      <c r="K13" s="159"/>
      <c r="L13" s="162"/>
      <c r="M13" s="164" t="s">
        <v>153</v>
      </c>
      <c r="N13" s="160"/>
      <c r="O13" s="159"/>
      <c r="P13" s="159"/>
      <c r="Q13" s="159"/>
      <c r="R13" s="159"/>
      <c r="S13" s="160"/>
      <c r="T13" s="160" t="s">
        <v>191</v>
      </c>
      <c r="U13" s="160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G13" s="75"/>
      <c r="AH13" s="80"/>
      <c r="AI13" s="102" t="s">
        <v>101</v>
      </c>
      <c r="AJ13" s="80"/>
      <c r="AL13" s="80"/>
      <c r="AM13" s="136" t="s">
        <v>203</v>
      </c>
      <c r="AN13" s="80"/>
    </row>
    <row r="14" spans="1:40" ht="15" customHeight="1" thickTop="1" thickBot="1" x14ac:dyDescent="0.2">
      <c r="C14" s="48"/>
      <c r="E14" s="159"/>
      <c r="F14" s="162" t="s">
        <v>184</v>
      </c>
      <c r="G14" s="159"/>
      <c r="H14" s="159"/>
      <c r="I14" s="173"/>
      <c r="J14" s="159"/>
      <c r="K14" s="159"/>
      <c r="L14" s="247">
        <f>+入力シート!D15</f>
        <v>0</v>
      </c>
      <c r="M14" s="248"/>
      <c r="N14" s="249"/>
      <c r="O14" s="257" t="s">
        <v>150</v>
      </c>
      <c r="P14" s="258"/>
      <c r="Q14" s="258"/>
      <c r="R14" s="259"/>
      <c r="S14" s="260">
        <f>ROUND(AH14,2)</f>
        <v>0</v>
      </c>
      <c r="T14" s="261"/>
      <c r="U14" s="262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G14" s="75"/>
      <c r="AH14" s="263">
        <f>+L14/12</f>
        <v>0</v>
      </c>
      <c r="AI14" s="264"/>
      <c r="AJ14" s="265"/>
      <c r="AL14" s="254">
        <f>+算定シート1!D27</f>
        <v>0</v>
      </c>
      <c r="AM14" s="255"/>
      <c r="AN14" s="256"/>
    </row>
    <row r="15" spans="1:40" ht="15" customHeight="1" x14ac:dyDescent="0.15">
      <c r="C15" s="48"/>
      <c r="E15" s="159"/>
      <c r="F15" s="159"/>
      <c r="G15" s="159"/>
      <c r="H15" s="159"/>
      <c r="I15" s="173"/>
      <c r="J15" s="159"/>
      <c r="K15" s="159"/>
      <c r="L15" s="159"/>
      <c r="M15" s="159"/>
      <c r="N15" s="159"/>
      <c r="O15" s="173"/>
      <c r="P15" s="173"/>
      <c r="Q15" s="173"/>
      <c r="R15" s="173"/>
      <c r="S15" s="159"/>
      <c r="T15" s="167"/>
      <c r="U15" s="159"/>
      <c r="V15" s="160"/>
      <c r="W15" s="159"/>
      <c r="X15" s="159"/>
      <c r="Y15" s="159"/>
      <c r="Z15" s="159"/>
      <c r="AA15" s="159"/>
      <c r="AB15" s="159"/>
      <c r="AC15" s="159"/>
      <c r="AD15" s="159"/>
      <c r="AE15" s="159"/>
      <c r="AG15" s="75"/>
      <c r="AH15" s="79"/>
      <c r="AI15" s="79"/>
      <c r="AJ15" s="79"/>
      <c r="AL15" s="79"/>
      <c r="AM15" s="79"/>
      <c r="AN15" s="79"/>
    </row>
    <row r="16" spans="1:40" ht="15" customHeight="1" thickBot="1" x14ac:dyDescent="0.2">
      <c r="C16" s="48"/>
      <c r="E16" s="159"/>
      <c r="F16" s="159"/>
      <c r="G16" s="159"/>
      <c r="H16" s="159"/>
      <c r="I16" s="173"/>
      <c r="J16" s="159"/>
      <c r="K16" s="159"/>
      <c r="L16" s="179"/>
      <c r="M16" s="164" t="s">
        <v>153</v>
      </c>
      <c r="N16" s="164"/>
      <c r="O16" s="180"/>
      <c r="P16" s="173"/>
      <c r="Q16" s="173"/>
      <c r="R16" s="173"/>
      <c r="S16" s="160"/>
      <c r="T16" s="160" t="s">
        <v>192</v>
      </c>
      <c r="U16" s="160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G16" s="75"/>
      <c r="AH16" s="80"/>
      <c r="AI16" s="102" t="s">
        <v>100</v>
      </c>
      <c r="AJ16" s="80"/>
      <c r="AL16" s="80"/>
      <c r="AM16" s="136" t="s">
        <v>203</v>
      </c>
      <c r="AN16" s="80"/>
    </row>
    <row r="17" spans="3:41" ht="15" customHeight="1" thickTop="1" thickBot="1" x14ac:dyDescent="0.2">
      <c r="C17" s="48"/>
      <c r="E17" s="159"/>
      <c r="F17" s="162" t="s">
        <v>185</v>
      </c>
      <c r="G17" s="159"/>
      <c r="H17" s="159"/>
      <c r="I17" s="173"/>
      <c r="J17" s="181"/>
      <c r="K17" s="159"/>
      <c r="L17" s="247">
        <f>+入力シート!D9</f>
        <v>0</v>
      </c>
      <c r="M17" s="248"/>
      <c r="N17" s="249"/>
      <c r="O17" s="257" t="s">
        <v>150</v>
      </c>
      <c r="P17" s="258"/>
      <c r="Q17" s="258"/>
      <c r="R17" s="259"/>
      <c r="S17" s="260">
        <f>ROUND(AH17,2)</f>
        <v>0</v>
      </c>
      <c r="T17" s="261"/>
      <c r="U17" s="262"/>
      <c r="V17" s="182"/>
      <c r="W17" s="159"/>
      <c r="X17" s="159"/>
      <c r="Y17" s="159"/>
      <c r="Z17" s="159"/>
      <c r="AA17" s="159"/>
      <c r="AB17" s="159"/>
      <c r="AC17" s="159"/>
      <c r="AD17" s="159"/>
      <c r="AE17" s="159"/>
      <c r="AG17" s="75"/>
      <c r="AH17" s="266">
        <f>+(L17)/12</f>
        <v>0</v>
      </c>
      <c r="AI17" s="267"/>
      <c r="AJ17" s="268"/>
      <c r="AL17" s="254">
        <f>+算定シート1!D23</f>
        <v>0</v>
      </c>
      <c r="AM17" s="255"/>
      <c r="AN17" s="256"/>
    </row>
    <row r="18" spans="3:41" ht="15" customHeight="1" x14ac:dyDescent="0.15">
      <c r="C18" s="48"/>
      <c r="E18" s="159"/>
      <c r="F18" s="183" t="s">
        <v>73</v>
      </c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G18" s="75"/>
    </row>
    <row r="19" spans="3:41" ht="15" customHeight="1" thickBot="1" x14ac:dyDescent="0.2">
      <c r="C19" s="48"/>
      <c r="E19" s="159"/>
      <c r="F19" s="159"/>
      <c r="G19" s="159"/>
      <c r="H19" s="159"/>
      <c r="I19" s="173"/>
      <c r="J19" s="159"/>
      <c r="K19" s="159"/>
      <c r="L19" s="179"/>
      <c r="M19" s="164" t="s">
        <v>153</v>
      </c>
      <c r="N19" s="164"/>
      <c r="O19" s="180"/>
      <c r="P19" s="173"/>
      <c r="Q19" s="173"/>
      <c r="R19" s="173"/>
      <c r="S19" s="160"/>
      <c r="T19" s="160" t="s">
        <v>193</v>
      </c>
      <c r="U19" s="160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G19" s="75"/>
      <c r="AH19" s="80"/>
      <c r="AI19" s="102" t="s">
        <v>173</v>
      </c>
      <c r="AJ19" s="80"/>
    </row>
    <row r="20" spans="3:41" ht="15" customHeight="1" thickTop="1" thickBot="1" x14ac:dyDescent="0.2">
      <c r="C20" s="48"/>
      <c r="E20" s="159"/>
      <c r="F20" s="162" t="s">
        <v>186</v>
      </c>
      <c r="G20" s="159"/>
      <c r="H20" s="159"/>
      <c r="I20" s="173"/>
      <c r="J20" s="181"/>
      <c r="K20" s="159"/>
      <c r="L20" s="247">
        <f>+入力シート!D12</f>
        <v>0</v>
      </c>
      <c r="M20" s="248"/>
      <c r="N20" s="249"/>
      <c r="O20" s="257" t="s">
        <v>150</v>
      </c>
      <c r="P20" s="258"/>
      <c r="Q20" s="258"/>
      <c r="R20" s="259"/>
      <c r="S20" s="260">
        <f>ROUND(AH20,2)</f>
        <v>0</v>
      </c>
      <c r="T20" s="261"/>
      <c r="U20" s="262"/>
      <c r="V20" s="182"/>
      <c r="W20" s="159"/>
      <c r="X20" s="159"/>
      <c r="Y20" s="159"/>
      <c r="Z20" s="159"/>
      <c r="AA20" s="159"/>
      <c r="AB20" s="159"/>
      <c r="AC20" s="159"/>
      <c r="AD20" s="159"/>
      <c r="AE20" s="159"/>
      <c r="AG20" s="75"/>
      <c r="AH20" s="266">
        <f>+(L20)/12</f>
        <v>0</v>
      </c>
      <c r="AI20" s="267"/>
      <c r="AJ20" s="268"/>
    </row>
    <row r="21" spans="3:41" ht="15" customHeight="1" x14ac:dyDescent="0.15">
      <c r="C21" s="48"/>
      <c r="E21" s="159"/>
      <c r="F21" s="183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G21" s="75"/>
    </row>
    <row r="22" spans="3:41" ht="15" customHeight="1" thickBot="1" x14ac:dyDescent="0.2">
      <c r="C22" s="48"/>
      <c r="E22" s="159"/>
      <c r="F22" s="159" t="s">
        <v>90</v>
      </c>
      <c r="G22" s="159"/>
      <c r="H22" s="159"/>
      <c r="I22" s="173"/>
      <c r="J22" s="159"/>
      <c r="K22" s="159"/>
      <c r="L22" s="162"/>
      <c r="M22" s="160" t="s">
        <v>191</v>
      </c>
      <c r="N22" s="160"/>
      <c r="O22" s="159"/>
      <c r="P22" s="162"/>
      <c r="Q22" s="160" t="s">
        <v>192</v>
      </c>
      <c r="R22" s="160"/>
      <c r="S22" s="159"/>
      <c r="T22" s="162"/>
      <c r="U22" s="160" t="s">
        <v>193</v>
      </c>
      <c r="V22" s="160"/>
      <c r="W22" s="159"/>
      <c r="X22" s="160"/>
      <c r="Y22" s="160" t="s">
        <v>165</v>
      </c>
      <c r="Z22" s="160"/>
      <c r="AA22" s="159"/>
      <c r="AB22" s="159"/>
      <c r="AC22" s="159"/>
      <c r="AD22" s="159"/>
      <c r="AE22" s="159"/>
      <c r="AG22" s="75"/>
      <c r="AH22" s="92"/>
    </row>
    <row r="23" spans="3:41" ht="15" customHeight="1" thickTop="1" thickBot="1" x14ac:dyDescent="0.2">
      <c r="C23" s="48"/>
      <c r="E23" s="159"/>
      <c r="F23" s="162" t="s">
        <v>165</v>
      </c>
      <c r="G23" s="159"/>
      <c r="H23" s="159"/>
      <c r="I23" s="173"/>
      <c r="J23" s="159"/>
      <c r="K23" s="159"/>
      <c r="L23" s="247">
        <f>+S14</f>
        <v>0</v>
      </c>
      <c r="M23" s="250"/>
      <c r="N23" s="251"/>
      <c r="O23" s="184" t="s">
        <v>91</v>
      </c>
      <c r="P23" s="247">
        <f>+S17</f>
        <v>0</v>
      </c>
      <c r="Q23" s="248"/>
      <c r="R23" s="249"/>
      <c r="S23" s="184" t="s">
        <v>50</v>
      </c>
      <c r="T23" s="247">
        <f>+S20</f>
        <v>0</v>
      </c>
      <c r="U23" s="248"/>
      <c r="V23" s="249"/>
      <c r="W23" s="185" t="s">
        <v>92</v>
      </c>
      <c r="X23" s="260">
        <f>+P23+L23+T23</f>
        <v>0</v>
      </c>
      <c r="Y23" s="261"/>
      <c r="Z23" s="262"/>
      <c r="AA23" s="159"/>
      <c r="AB23" s="159"/>
      <c r="AC23" s="159"/>
      <c r="AD23" s="159"/>
      <c r="AE23" s="159"/>
      <c r="AG23" s="75"/>
    </row>
    <row r="24" spans="3:41" ht="15" customHeight="1" x14ac:dyDescent="0.15">
      <c r="C24" s="48"/>
      <c r="E24" s="159"/>
      <c r="F24" s="162"/>
      <c r="G24" s="159"/>
      <c r="H24" s="159"/>
      <c r="I24" s="173"/>
      <c r="J24" s="159"/>
      <c r="K24" s="186"/>
      <c r="L24" s="187"/>
      <c r="M24" s="187"/>
      <c r="N24" s="163"/>
      <c r="O24" s="186"/>
      <c r="P24" s="186"/>
      <c r="Q24" s="186"/>
      <c r="R24" s="160"/>
      <c r="S24" s="186"/>
      <c r="T24" s="187"/>
      <c r="U24" s="187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G24" s="75"/>
    </row>
    <row r="25" spans="3:41" ht="15" customHeight="1" x14ac:dyDescent="0.15">
      <c r="C25" s="48"/>
      <c r="E25" s="159"/>
      <c r="F25" s="162"/>
      <c r="G25" s="159"/>
      <c r="H25" s="159"/>
      <c r="I25" s="173"/>
      <c r="J25" s="159"/>
      <c r="K25" s="186"/>
      <c r="L25" s="187"/>
      <c r="M25" s="187"/>
      <c r="N25" s="163"/>
      <c r="O25" s="159"/>
      <c r="P25" s="159"/>
      <c r="Q25" s="159"/>
      <c r="R25" s="160"/>
      <c r="S25" s="186"/>
      <c r="T25" s="187"/>
      <c r="U25" s="187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G25" s="75"/>
    </row>
    <row r="26" spans="3:41" ht="15" customHeight="1" x14ac:dyDescent="0.15">
      <c r="C26" s="48"/>
      <c r="E26" s="159"/>
      <c r="F26" s="162"/>
      <c r="G26" s="159"/>
      <c r="H26" s="159"/>
      <c r="I26" s="173"/>
      <c r="J26" s="159"/>
      <c r="K26" s="186"/>
      <c r="L26" s="187"/>
      <c r="M26" s="187"/>
      <c r="N26" s="163"/>
      <c r="O26" s="186"/>
      <c r="P26" s="186"/>
      <c r="Q26" s="186"/>
      <c r="R26" s="160"/>
      <c r="S26" s="186"/>
      <c r="T26" s="187"/>
      <c r="U26" s="187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G26" s="75"/>
    </row>
    <row r="27" spans="3:41" ht="15" customHeight="1" x14ac:dyDescent="0.15">
      <c r="C27" s="48"/>
      <c r="E27" s="159"/>
      <c r="F27" s="159"/>
      <c r="G27" s="159"/>
      <c r="H27" s="159"/>
      <c r="I27" s="173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60" t="s">
        <v>90</v>
      </c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G27" s="75"/>
      <c r="AJ27" s="34"/>
    </row>
    <row r="28" spans="3:41" s="38" customFormat="1" ht="15" customHeight="1" x14ac:dyDescent="0.15">
      <c r="C28" s="47"/>
      <c r="E28" s="176" t="s">
        <v>164</v>
      </c>
      <c r="F28" s="162"/>
      <c r="G28" s="162"/>
      <c r="H28" s="162"/>
      <c r="I28" s="160"/>
      <c r="J28" s="162"/>
      <c r="K28" s="162"/>
      <c r="L28" s="162"/>
      <c r="M28" s="160"/>
      <c r="N28" s="162"/>
      <c r="O28" s="162"/>
      <c r="P28" s="162"/>
      <c r="Q28" s="162"/>
      <c r="R28" s="162"/>
      <c r="S28" s="160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G28" s="76"/>
      <c r="AJ28" s="62"/>
    </row>
    <row r="29" spans="3:41" s="38" customFormat="1" ht="15" customHeight="1" x14ac:dyDescent="0.15">
      <c r="C29" s="47"/>
      <c r="E29" s="176"/>
      <c r="F29" s="162"/>
      <c r="G29" s="162"/>
      <c r="H29" s="162"/>
      <c r="I29" s="160"/>
      <c r="J29" s="162"/>
      <c r="K29" s="162"/>
      <c r="L29" s="162"/>
      <c r="M29" s="160"/>
      <c r="N29" s="162"/>
      <c r="O29" s="162"/>
      <c r="P29" s="162"/>
      <c r="Q29" s="162"/>
      <c r="R29" s="162"/>
      <c r="S29" s="160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G29" s="76"/>
      <c r="AJ29" s="62"/>
    </row>
    <row r="30" spans="3:41" s="38" customFormat="1" ht="15" customHeight="1" thickBot="1" x14ac:dyDescent="0.2">
      <c r="C30" s="47"/>
      <c r="E30" s="162"/>
      <c r="F30" s="162"/>
      <c r="G30" s="162"/>
      <c r="H30" s="160" t="s">
        <v>58</v>
      </c>
      <c r="I30" s="160"/>
      <c r="J30" s="160"/>
      <c r="K30" s="162"/>
      <c r="L30" s="160" t="s">
        <v>165</v>
      </c>
      <c r="M30" s="160"/>
      <c r="N30" s="162"/>
      <c r="O30" s="162"/>
      <c r="P30" s="162"/>
      <c r="Q30" s="162"/>
      <c r="R30" s="162"/>
      <c r="S30" s="162"/>
      <c r="T30" s="160"/>
      <c r="U30" s="160"/>
      <c r="V30" s="160" t="s">
        <v>80</v>
      </c>
      <c r="W30" s="160"/>
      <c r="X30" s="162"/>
      <c r="Y30" s="162"/>
      <c r="Z30" s="160"/>
      <c r="AA30" s="160" t="s">
        <v>147</v>
      </c>
      <c r="AB30" s="160"/>
      <c r="AC30" s="162"/>
      <c r="AD30" s="162"/>
      <c r="AE30" s="162"/>
      <c r="AG30" s="76"/>
      <c r="AH30" s="92"/>
      <c r="AI30" s="65" t="s">
        <v>102</v>
      </c>
      <c r="AJ30" s="92"/>
      <c r="AM30" s="92"/>
      <c r="AN30" s="65" t="s">
        <v>102</v>
      </c>
      <c r="AO30" s="92"/>
    </row>
    <row r="31" spans="3:41" s="38" customFormat="1" ht="15" customHeight="1" thickTop="1" thickBot="1" x14ac:dyDescent="0.2">
      <c r="C31" s="47"/>
      <c r="E31" s="162"/>
      <c r="F31" s="188" t="s">
        <v>93</v>
      </c>
      <c r="G31" s="247">
        <f>+AA10</f>
        <v>98000</v>
      </c>
      <c r="H31" s="248"/>
      <c r="I31" s="249"/>
      <c r="J31" s="160" t="s">
        <v>91</v>
      </c>
      <c r="K31" s="247">
        <f>+X23</f>
        <v>0</v>
      </c>
      <c r="L31" s="248"/>
      <c r="M31" s="249"/>
      <c r="N31" s="166" t="s">
        <v>94</v>
      </c>
      <c r="O31" s="269" t="str">
        <f>+Sheet3!E25</f>
        <v>２８万円〕  ×  １／２</v>
      </c>
      <c r="P31" s="270"/>
      <c r="Q31" s="270"/>
      <c r="R31" s="270"/>
      <c r="S31" s="270"/>
      <c r="T31" s="160" t="s">
        <v>92</v>
      </c>
      <c r="U31" s="247">
        <f>ROUND(AH31,2)</f>
        <v>-91000</v>
      </c>
      <c r="V31" s="248"/>
      <c r="W31" s="249"/>
      <c r="X31" s="162"/>
      <c r="Y31" s="162"/>
      <c r="Z31" s="260">
        <f>IF(U31&lt;K31,U31,K31)</f>
        <v>-91000</v>
      </c>
      <c r="AA31" s="261"/>
      <c r="AB31" s="262"/>
      <c r="AC31" s="162"/>
      <c r="AD31" s="162"/>
      <c r="AE31" s="162"/>
      <c r="AG31" s="76"/>
      <c r="AH31" s="276">
        <f>+(G31+K31-Sheet3!B25)/2</f>
        <v>-91000</v>
      </c>
      <c r="AI31" s="277"/>
      <c r="AJ31" s="278"/>
      <c r="AM31" s="279" t="e">
        <f>+L75*P75/T75</f>
        <v>#DIV/0!</v>
      </c>
      <c r="AN31" s="280"/>
      <c r="AO31" s="281"/>
    </row>
    <row r="32" spans="3:41" s="38" customFormat="1" ht="15" customHeight="1" x14ac:dyDescent="0.15">
      <c r="C32" s="47"/>
      <c r="E32" s="188"/>
      <c r="F32" s="189"/>
      <c r="G32" s="190"/>
      <c r="H32" s="190"/>
      <c r="I32" s="160"/>
      <c r="J32" s="189"/>
      <c r="K32" s="190"/>
      <c r="L32" s="190"/>
      <c r="M32" s="166"/>
      <c r="N32" s="166"/>
      <c r="O32" s="160"/>
      <c r="P32" s="189"/>
      <c r="Q32" s="190"/>
      <c r="R32" s="190"/>
      <c r="S32" s="162"/>
      <c r="T32" s="162"/>
      <c r="U32" s="167"/>
      <c r="V32" s="162"/>
      <c r="W32" s="162"/>
      <c r="X32" s="162"/>
      <c r="Y32" s="191" t="str">
        <f>IF(U31&lt;K31,"","注）年金額の全額停止")</f>
        <v/>
      </c>
      <c r="Z32" s="162"/>
      <c r="AA32" s="162"/>
      <c r="AB32" s="162"/>
      <c r="AC32" s="162"/>
      <c r="AD32" s="162"/>
      <c r="AE32" s="162"/>
      <c r="AG32" s="76"/>
      <c r="AH32" s="62"/>
      <c r="AO32" s="38" t="s">
        <v>98</v>
      </c>
    </row>
    <row r="33" spans="3:52" s="38" customFormat="1" ht="15" customHeight="1" x14ac:dyDescent="0.15">
      <c r="C33" s="47"/>
      <c r="E33" s="188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G33" s="76"/>
    </row>
    <row r="34" spans="3:52" s="38" customFormat="1" ht="15" customHeight="1" x14ac:dyDescent="0.15">
      <c r="C34" s="47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G34" s="76"/>
      <c r="AH34" s="38" t="s">
        <v>97</v>
      </c>
    </row>
    <row r="35" spans="3:52" s="38" customFormat="1" ht="15" customHeight="1" x14ac:dyDescent="0.15">
      <c r="C35" s="47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G35" s="76"/>
      <c r="AH35" s="273">
        <f>+Z31</f>
        <v>-91000</v>
      </c>
      <c r="AI35" s="274"/>
      <c r="AJ35" s="275"/>
      <c r="AK35" s="52" t="s">
        <v>62</v>
      </c>
      <c r="AL35" s="273">
        <f>+S14</f>
        <v>0</v>
      </c>
      <c r="AM35" s="274"/>
      <c r="AN35" s="275"/>
      <c r="AO35" s="52" t="s">
        <v>63</v>
      </c>
      <c r="AP35" s="273">
        <f>+T75</f>
        <v>0</v>
      </c>
      <c r="AQ35" s="274"/>
      <c r="AR35" s="275"/>
      <c r="AS35" s="94" t="s">
        <v>51</v>
      </c>
      <c r="AT35" s="273" t="e">
        <f>+AH35*AL35/AP35</f>
        <v>#DIV/0!</v>
      </c>
      <c r="AU35" s="274"/>
      <c r="AV35" s="275"/>
    </row>
    <row r="36" spans="3:52" s="38" customFormat="1" ht="15" customHeight="1" x14ac:dyDescent="0.15">
      <c r="C36" s="47"/>
      <c r="E36" s="176" t="s">
        <v>195</v>
      </c>
      <c r="F36" s="162"/>
      <c r="G36" s="190"/>
      <c r="H36" s="190"/>
      <c r="I36" s="160"/>
      <c r="J36" s="189"/>
      <c r="K36" s="163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59"/>
      <c r="AB36" s="159"/>
      <c r="AC36" s="159"/>
      <c r="AD36" s="162"/>
      <c r="AE36" s="162"/>
      <c r="AG36" s="76"/>
    </row>
    <row r="37" spans="3:52" s="38" customFormat="1" ht="15" customHeight="1" x14ac:dyDescent="0.15">
      <c r="C37" s="47"/>
      <c r="E37" s="176"/>
      <c r="F37" s="162"/>
      <c r="G37" s="190"/>
      <c r="H37" s="190"/>
      <c r="I37" s="160"/>
      <c r="J37" s="189"/>
      <c r="K37" s="163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59"/>
      <c r="AB37" s="159"/>
      <c r="AC37" s="159"/>
      <c r="AD37" s="162"/>
      <c r="AE37" s="162"/>
      <c r="AG37" s="76"/>
    </row>
    <row r="38" spans="3:52" s="38" customFormat="1" ht="15" customHeight="1" thickBot="1" x14ac:dyDescent="0.2">
      <c r="C38" s="47"/>
      <c r="E38" s="176"/>
      <c r="F38" s="162"/>
      <c r="G38" s="190"/>
      <c r="H38" s="190"/>
      <c r="I38" s="160"/>
      <c r="J38" s="162"/>
      <c r="K38" s="162"/>
      <c r="L38" s="163"/>
      <c r="M38" s="160" t="s">
        <v>147</v>
      </c>
      <c r="N38" s="163"/>
      <c r="O38" s="162"/>
      <c r="P38" s="162"/>
      <c r="Q38" s="165"/>
      <c r="R38" s="160" t="s">
        <v>192</v>
      </c>
      <c r="S38" s="166"/>
      <c r="T38" s="160"/>
      <c r="U38" s="162"/>
      <c r="V38" s="189"/>
      <c r="W38" s="160" t="s">
        <v>165</v>
      </c>
      <c r="X38" s="190"/>
      <c r="Y38" s="162"/>
      <c r="Z38" s="162"/>
      <c r="AA38" s="160"/>
      <c r="AB38" s="160" t="s">
        <v>152</v>
      </c>
      <c r="AC38" s="160"/>
      <c r="AD38" s="162"/>
      <c r="AE38" s="162"/>
      <c r="AG38" s="76"/>
      <c r="AH38" s="92"/>
      <c r="AI38" s="65" t="s">
        <v>103</v>
      </c>
      <c r="AJ38" s="92"/>
      <c r="AK38" s="30"/>
      <c r="AL38" s="30"/>
      <c r="AM38" s="30"/>
      <c r="AN38" s="30"/>
      <c r="AO38" s="30"/>
      <c r="AP38" s="104"/>
      <c r="AQ38" s="111" t="s">
        <v>139</v>
      </c>
      <c r="AR38" s="54"/>
      <c r="AS38" s="55"/>
      <c r="AT38" s="54"/>
      <c r="AU38" s="111" t="s">
        <v>108</v>
      </c>
      <c r="AV38" s="104"/>
    </row>
    <row r="39" spans="3:52" ht="15" customHeight="1" thickTop="1" thickBot="1" x14ac:dyDescent="0.2">
      <c r="C39" s="48"/>
      <c r="E39" s="159"/>
      <c r="F39" s="162" t="s">
        <v>188</v>
      </c>
      <c r="G39" s="159"/>
      <c r="H39" s="190"/>
      <c r="I39" s="160"/>
      <c r="J39" s="159"/>
      <c r="K39" s="159"/>
      <c r="L39" s="247">
        <f>+Z31</f>
        <v>-91000</v>
      </c>
      <c r="M39" s="248"/>
      <c r="N39" s="249"/>
      <c r="O39" s="271" t="s">
        <v>62</v>
      </c>
      <c r="P39" s="311"/>
      <c r="Q39" s="247">
        <f>+P23</f>
        <v>0</v>
      </c>
      <c r="R39" s="248"/>
      <c r="S39" s="249"/>
      <c r="T39" s="271" t="s">
        <v>63</v>
      </c>
      <c r="U39" s="311"/>
      <c r="V39" s="247">
        <f>+X23</f>
        <v>0</v>
      </c>
      <c r="W39" s="248"/>
      <c r="X39" s="249"/>
      <c r="Y39" s="271" t="s">
        <v>96</v>
      </c>
      <c r="Z39" s="297"/>
      <c r="AA39" s="260" t="e">
        <f>ROUND(AH39,2)</f>
        <v>#DIV/0!</v>
      </c>
      <c r="AB39" s="261"/>
      <c r="AC39" s="262"/>
      <c r="AD39" s="159"/>
      <c r="AE39" s="159"/>
      <c r="AG39" s="75"/>
      <c r="AH39" s="266" t="e">
        <f>+L39*Q39/V39</f>
        <v>#DIV/0!</v>
      </c>
      <c r="AI39" s="267"/>
      <c r="AJ39" s="268"/>
      <c r="AP39" s="285" t="e">
        <f>+S17-AH39</f>
        <v>#DIV/0!</v>
      </c>
      <c r="AQ39" s="286"/>
      <c r="AR39" s="287"/>
      <c r="AT39" s="285" t="e">
        <f>+AP39+AH57/12</f>
        <v>#DIV/0!</v>
      </c>
      <c r="AU39" s="286"/>
      <c r="AV39" s="287"/>
    </row>
    <row r="40" spans="3:52" ht="15" customHeight="1" x14ac:dyDescent="0.15">
      <c r="C40" s="48"/>
      <c r="E40" s="159"/>
      <c r="F40" s="18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67"/>
      <c r="Z40" s="191" t="str">
        <f>IF(L39&lt;S17,"","注）３号厚年の全額停止")</f>
        <v/>
      </c>
      <c r="AA40" s="159"/>
      <c r="AB40" s="159"/>
      <c r="AC40" s="159"/>
      <c r="AD40" s="159"/>
      <c r="AE40" s="159"/>
      <c r="AG40" s="75"/>
    </row>
    <row r="41" spans="3:52" ht="15" customHeight="1" x14ac:dyDescent="0.15">
      <c r="C41" s="48"/>
      <c r="E41" s="159"/>
      <c r="F41" s="159"/>
      <c r="G41" s="159"/>
      <c r="H41" s="159"/>
      <c r="I41" s="173"/>
      <c r="J41" s="159"/>
      <c r="K41" s="159"/>
      <c r="L41" s="159"/>
      <c r="M41" s="173"/>
      <c r="N41" s="159"/>
      <c r="O41" s="159"/>
      <c r="P41" s="159"/>
      <c r="Q41" s="159"/>
      <c r="R41" s="159"/>
      <c r="S41" s="173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G41" s="75"/>
      <c r="AJ41" s="34"/>
    </row>
    <row r="42" spans="3:52" ht="15" customHeight="1" x14ac:dyDescent="0.15">
      <c r="C42" s="48"/>
      <c r="E42" s="159"/>
      <c r="F42" s="159"/>
      <c r="G42" s="159"/>
      <c r="H42" s="159"/>
      <c r="I42" s="159"/>
      <c r="J42" s="159"/>
      <c r="K42" s="159"/>
      <c r="L42" s="159"/>
      <c r="M42" s="173"/>
      <c r="N42" s="159"/>
      <c r="O42" s="159"/>
      <c r="P42" s="159"/>
      <c r="Q42" s="159"/>
      <c r="R42" s="159"/>
      <c r="S42" s="173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G42" s="75"/>
      <c r="AJ42" s="34"/>
    </row>
    <row r="43" spans="3:52" ht="15" customHeight="1" x14ac:dyDescent="0.15">
      <c r="C43" s="48"/>
      <c r="E43" s="159"/>
      <c r="F43" s="18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G43" s="75"/>
      <c r="AJ43" s="34"/>
    </row>
    <row r="44" spans="3:52" ht="15" customHeight="1" x14ac:dyDescent="0.15">
      <c r="C44" s="48"/>
      <c r="E44" s="176" t="s">
        <v>161</v>
      </c>
      <c r="F44" s="162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G44" s="75"/>
      <c r="AJ44" s="34"/>
    </row>
    <row r="45" spans="3:52" ht="15" customHeight="1" x14ac:dyDescent="0.15">
      <c r="C45" s="48"/>
      <c r="E45" s="192"/>
      <c r="F45" s="162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G45" s="75"/>
      <c r="AJ45" s="34"/>
    </row>
    <row r="46" spans="3:52" ht="15" customHeight="1" thickBot="1" x14ac:dyDescent="0.2">
      <c r="C46" s="48"/>
      <c r="E46" s="159"/>
      <c r="F46" s="162" t="s">
        <v>162</v>
      </c>
      <c r="G46" s="159"/>
      <c r="H46" s="159"/>
      <c r="I46" s="159"/>
      <c r="J46" s="159"/>
      <c r="K46" s="159"/>
      <c r="L46" s="163"/>
      <c r="M46" s="160" t="s">
        <v>75</v>
      </c>
      <c r="N46" s="163"/>
      <c r="O46" s="159"/>
      <c r="P46" s="165"/>
      <c r="Q46" s="159"/>
      <c r="R46" s="159"/>
      <c r="S46" s="173"/>
      <c r="T46" s="159"/>
      <c r="U46" s="159"/>
      <c r="V46" s="165"/>
      <c r="W46" s="160" t="s">
        <v>74</v>
      </c>
      <c r="X46" s="166"/>
      <c r="Y46" s="159"/>
      <c r="Z46" s="159"/>
      <c r="AA46" s="159"/>
      <c r="AB46" s="159"/>
      <c r="AC46" s="159"/>
      <c r="AD46" s="159"/>
      <c r="AE46" s="159"/>
      <c r="AG46" s="75"/>
      <c r="AH46" s="93"/>
      <c r="AI46" s="65" t="s">
        <v>104</v>
      </c>
      <c r="AJ46" s="95"/>
      <c r="AL46" s="38"/>
      <c r="AM46" s="136" t="s">
        <v>203</v>
      </c>
      <c r="AN46" s="38"/>
      <c r="AP46" s="104"/>
      <c r="AQ46" s="111" t="s">
        <v>139</v>
      </c>
      <c r="AR46" s="54"/>
      <c r="AS46" s="55"/>
      <c r="AT46" s="54"/>
      <c r="AU46" s="111" t="s">
        <v>108</v>
      </c>
      <c r="AV46" s="104"/>
      <c r="AX46" s="38"/>
      <c r="AY46" s="136" t="s">
        <v>203</v>
      </c>
      <c r="AZ46" s="38"/>
    </row>
    <row r="47" spans="3:52" ht="15" customHeight="1" thickTop="1" thickBot="1" x14ac:dyDescent="0.2">
      <c r="C47" s="48"/>
      <c r="E47" s="159"/>
      <c r="F47" s="162" t="s">
        <v>188</v>
      </c>
      <c r="G47" s="159"/>
      <c r="H47" s="159"/>
      <c r="I47" s="159"/>
      <c r="J47" s="159"/>
      <c r="K47" s="159"/>
      <c r="L47" s="247" t="e">
        <f>+AA39</f>
        <v>#DIV/0!</v>
      </c>
      <c r="M47" s="248"/>
      <c r="N47" s="249"/>
      <c r="O47" s="294" t="s">
        <v>183</v>
      </c>
      <c r="P47" s="295"/>
      <c r="Q47" s="296"/>
      <c r="R47" s="297"/>
      <c r="S47" s="297"/>
      <c r="T47" s="297"/>
      <c r="U47" s="298"/>
      <c r="V47" s="260" t="e">
        <f>IF(Q39=AA39,L17,ROUNDDOWN(L47*12,0))</f>
        <v>#DIV/0!</v>
      </c>
      <c r="W47" s="261"/>
      <c r="X47" s="262"/>
      <c r="Y47" s="159"/>
      <c r="Z47" s="159"/>
      <c r="AA47" s="159"/>
      <c r="AB47" s="159"/>
      <c r="AC47" s="159"/>
      <c r="AD47" s="159"/>
      <c r="AE47" s="159"/>
      <c r="AG47" s="75"/>
      <c r="AH47" s="276" t="e">
        <f>+L47*12</f>
        <v>#DIV/0!</v>
      </c>
      <c r="AI47" s="277"/>
      <c r="AJ47" s="278"/>
      <c r="AL47" s="291" t="e">
        <f>+算定シート1!D57</f>
        <v>#DIV/0!</v>
      </c>
      <c r="AM47" s="292"/>
      <c r="AN47" s="293"/>
      <c r="AP47" s="285" t="e">
        <f>+L17-AH57-V47</f>
        <v>#DIV/0!</v>
      </c>
      <c r="AQ47" s="286"/>
      <c r="AR47" s="287"/>
      <c r="AT47" s="285" t="e">
        <f>+AP47+AH57</f>
        <v>#DIV/0!</v>
      </c>
      <c r="AU47" s="286"/>
      <c r="AV47" s="287"/>
      <c r="AX47" s="291" t="e">
        <f>+算定シート1!D58</f>
        <v>#DIV/0!</v>
      </c>
      <c r="AY47" s="292"/>
      <c r="AZ47" s="293"/>
    </row>
    <row r="48" spans="3:52" ht="15" customHeight="1" x14ac:dyDescent="0.15">
      <c r="C48" s="48"/>
      <c r="E48" s="159"/>
      <c r="F48" s="159"/>
      <c r="G48" s="159"/>
      <c r="H48" s="159"/>
      <c r="I48" s="159"/>
      <c r="J48" s="159"/>
      <c r="K48" s="159"/>
      <c r="L48" s="159"/>
      <c r="M48" s="186"/>
      <c r="N48" s="187"/>
      <c r="O48" s="187"/>
      <c r="P48" s="193"/>
      <c r="Q48" s="182"/>
      <c r="R48" s="159"/>
      <c r="S48" s="173"/>
      <c r="T48" s="159"/>
      <c r="U48" s="187"/>
      <c r="V48" s="182"/>
      <c r="W48" s="167" t="e">
        <f>IF(V47=L17,AI50,AI49)</f>
        <v>#DIV/0!</v>
      </c>
      <c r="X48" s="159"/>
      <c r="Y48" s="159"/>
      <c r="Z48" s="159"/>
      <c r="AA48" s="159"/>
      <c r="AB48" s="159"/>
      <c r="AC48" s="159"/>
      <c r="AD48" s="159"/>
      <c r="AE48" s="159"/>
      <c r="AG48" s="75"/>
    </row>
    <row r="49" spans="3:44" ht="15" customHeight="1" x14ac:dyDescent="0.15">
      <c r="C49" s="48"/>
      <c r="E49" s="159"/>
      <c r="F49" s="159"/>
      <c r="G49" s="159"/>
      <c r="H49" s="159"/>
      <c r="I49" s="159"/>
      <c r="J49" s="159"/>
      <c r="K49" s="159"/>
      <c r="L49" s="159"/>
      <c r="M49" s="186"/>
      <c r="N49" s="187"/>
      <c r="O49" s="187"/>
      <c r="P49" s="193"/>
      <c r="Q49" s="182"/>
      <c r="R49" s="182"/>
      <c r="S49" s="167"/>
      <c r="T49" s="159"/>
      <c r="U49" s="187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G49" s="75"/>
      <c r="AI49" s="105" t="s">
        <v>76</v>
      </c>
      <c r="AJ49" s="34"/>
    </row>
    <row r="50" spans="3:44" ht="15" customHeight="1" thickBot="1" x14ac:dyDescent="0.2">
      <c r="C50" s="48"/>
      <c r="E50" s="159"/>
      <c r="F50" s="162" t="s">
        <v>162</v>
      </c>
      <c r="G50" s="159"/>
      <c r="H50" s="159"/>
      <c r="I50" s="159"/>
      <c r="J50" s="159"/>
      <c r="K50" s="159"/>
      <c r="L50" s="163"/>
      <c r="M50" s="164" t="s">
        <v>153</v>
      </c>
      <c r="N50" s="163"/>
      <c r="O50" s="159"/>
      <c r="P50" s="159"/>
      <c r="Q50" s="162"/>
      <c r="R50" s="160" t="s">
        <v>74</v>
      </c>
      <c r="S50" s="160"/>
      <c r="T50" s="159"/>
      <c r="U50" s="159"/>
      <c r="V50" s="160"/>
      <c r="W50" s="160" t="s">
        <v>151</v>
      </c>
      <c r="X50" s="160"/>
      <c r="Y50" s="159"/>
      <c r="Z50" s="160"/>
      <c r="AA50" s="159"/>
      <c r="AB50" s="159"/>
      <c r="AC50" s="159"/>
      <c r="AD50" s="159"/>
      <c r="AE50" s="159"/>
      <c r="AG50" s="75"/>
      <c r="AI50" s="105" t="s">
        <v>182</v>
      </c>
      <c r="AJ50" s="34"/>
    </row>
    <row r="51" spans="3:44" ht="15" customHeight="1" thickTop="1" thickBot="1" x14ac:dyDescent="0.2">
      <c r="C51" s="48"/>
      <c r="E51" s="159"/>
      <c r="F51" s="162" t="s">
        <v>189</v>
      </c>
      <c r="G51" s="159"/>
      <c r="H51" s="159"/>
      <c r="I51" s="159"/>
      <c r="J51" s="159"/>
      <c r="K51" s="159"/>
      <c r="L51" s="247">
        <f>+L17</f>
        <v>0</v>
      </c>
      <c r="M51" s="248"/>
      <c r="N51" s="249"/>
      <c r="O51" s="299" t="s">
        <v>148</v>
      </c>
      <c r="P51" s="300"/>
      <c r="Q51" s="247" t="e">
        <f>+V47</f>
        <v>#DIV/0!</v>
      </c>
      <c r="R51" s="250"/>
      <c r="S51" s="251"/>
      <c r="T51" s="299" t="s">
        <v>51</v>
      </c>
      <c r="U51" s="298"/>
      <c r="V51" s="260" t="e">
        <f>+L51-Q51</f>
        <v>#DIV/0!</v>
      </c>
      <c r="W51" s="261"/>
      <c r="X51" s="262"/>
      <c r="Y51" s="159"/>
      <c r="Z51" s="159"/>
      <c r="AA51" s="159"/>
      <c r="AB51" s="159"/>
      <c r="AC51" s="159"/>
      <c r="AD51" s="159"/>
      <c r="AE51" s="159"/>
      <c r="AG51" s="75"/>
      <c r="AJ51" s="34"/>
    </row>
    <row r="52" spans="3:44" ht="15" customHeight="1" x14ac:dyDescent="0.15">
      <c r="C52" s="48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G52" s="75"/>
      <c r="AJ52" s="34"/>
    </row>
    <row r="53" spans="3:44" ht="15" customHeight="1" x14ac:dyDescent="0.15">
      <c r="C53" s="48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G53" s="75"/>
      <c r="AJ53" s="34"/>
    </row>
    <row r="54" spans="3:44" ht="15" customHeight="1" x14ac:dyDescent="0.15">
      <c r="C54" s="48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G54" s="75"/>
      <c r="AJ54" s="34"/>
      <c r="AK54" s="301" t="s">
        <v>159</v>
      </c>
      <c r="AL54" s="302"/>
      <c r="AM54" s="302"/>
      <c r="AN54" s="302"/>
      <c r="AO54" s="302"/>
      <c r="AP54" s="302"/>
      <c r="AQ54" s="302"/>
      <c r="AR54" s="302"/>
    </row>
    <row r="55" spans="3:44" ht="15" customHeight="1" x14ac:dyDescent="0.15">
      <c r="C55" s="48"/>
      <c r="E55" s="194" t="s">
        <v>59</v>
      </c>
      <c r="F55" s="159"/>
      <c r="G55" s="159"/>
      <c r="H55" s="159"/>
      <c r="I55" s="159"/>
      <c r="J55" s="159"/>
      <c r="K55" s="159"/>
      <c r="L55" s="159"/>
      <c r="M55" s="159"/>
      <c r="N55" s="173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G55" s="75"/>
      <c r="AJ55" s="34"/>
      <c r="AK55" s="302"/>
      <c r="AL55" s="302"/>
      <c r="AM55" s="302"/>
      <c r="AN55" s="302"/>
      <c r="AO55" s="302"/>
      <c r="AP55" s="302"/>
      <c r="AQ55" s="302"/>
      <c r="AR55" s="302"/>
    </row>
    <row r="56" spans="3:44" ht="15" customHeight="1" thickBot="1" x14ac:dyDescent="0.2">
      <c r="C56" s="48"/>
      <c r="E56" s="159"/>
      <c r="F56" s="303" t="s">
        <v>157</v>
      </c>
      <c r="G56" s="246"/>
      <c r="H56" s="246"/>
      <c r="I56" s="297"/>
      <c r="J56" s="159"/>
      <c r="K56" s="159"/>
      <c r="L56" s="160"/>
      <c r="M56" s="160" t="s">
        <v>194</v>
      </c>
      <c r="N56" s="160"/>
      <c r="O56" s="159"/>
      <c r="P56" s="159"/>
      <c r="Q56" s="179"/>
      <c r="R56" s="160" t="s">
        <v>158</v>
      </c>
      <c r="S56" s="164"/>
      <c r="T56" s="159"/>
      <c r="U56" s="159"/>
      <c r="V56" s="160"/>
      <c r="W56" s="160" t="s">
        <v>156</v>
      </c>
      <c r="X56" s="160"/>
      <c r="Y56" s="159"/>
      <c r="Z56" s="159"/>
      <c r="AA56" s="159"/>
      <c r="AB56" s="159"/>
      <c r="AC56" s="159"/>
      <c r="AD56" s="159"/>
      <c r="AE56" s="159"/>
      <c r="AG56" s="75"/>
      <c r="AH56" s="119"/>
      <c r="AI56" s="37" t="s">
        <v>69</v>
      </c>
      <c r="AJ56" s="37"/>
      <c r="AK56" s="64"/>
      <c r="AL56" s="119"/>
      <c r="AM56" s="37" t="s">
        <v>155</v>
      </c>
      <c r="AN56" s="37"/>
    </row>
    <row r="57" spans="3:44" ht="15" customHeight="1" thickTop="1" thickBot="1" x14ac:dyDescent="0.2">
      <c r="C57" s="48"/>
      <c r="E57" s="159"/>
      <c r="F57" s="246"/>
      <c r="G57" s="246"/>
      <c r="H57" s="246"/>
      <c r="I57" s="297"/>
      <c r="J57" s="159"/>
      <c r="K57" s="159"/>
      <c r="L57" s="247" t="e">
        <f>+V51</f>
        <v>#DIV/0!</v>
      </c>
      <c r="M57" s="248"/>
      <c r="N57" s="249"/>
      <c r="O57" s="304" t="s">
        <v>154</v>
      </c>
      <c r="P57" s="300"/>
      <c r="Q57" s="247">
        <f>+AL57</f>
        <v>0</v>
      </c>
      <c r="R57" s="250"/>
      <c r="S57" s="251"/>
      <c r="T57" s="299" t="s">
        <v>51</v>
      </c>
      <c r="U57" s="298"/>
      <c r="V57" s="260" t="e">
        <f>+L57+Q57</f>
        <v>#DIV/0!</v>
      </c>
      <c r="W57" s="261"/>
      <c r="X57" s="262"/>
      <c r="Y57" s="159"/>
      <c r="Z57" s="159"/>
      <c r="AA57" s="159"/>
      <c r="AB57" s="159"/>
      <c r="AC57" s="159"/>
      <c r="AD57" s="159"/>
      <c r="AE57" s="159"/>
      <c r="AG57" s="75"/>
      <c r="AH57" s="305">
        <f>IF(入力シート!C19=1,0,入力シート!E9)</f>
        <v>0</v>
      </c>
      <c r="AI57" s="306"/>
      <c r="AJ57" s="307"/>
      <c r="AL57" s="305">
        <f>ROUNDDOWN(AH57,0)</f>
        <v>0</v>
      </c>
      <c r="AM57" s="306"/>
      <c r="AN57" s="307"/>
    </row>
    <row r="58" spans="3:44" ht="15" customHeight="1" x14ac:dyDescent="0.15">
      <c r="C58" s="48"/>
      <c r="E58" s="159"/>
      <c r="F58" s="159"/>
      <c r="G58" s="159"/>
      <c r="H58" s="159"/>
      <c r="I58" s="173"/>
      <c r="J58" s="159"/>
      <c r="K58" s="159"/>
      <c r="L58" s="159"/>
      <c r="M58" s="186"/>
      <c r="N58" s="187"/>
      <c r="O58" s="187"/>
      <c r="P58" s="193"/>
      <c r="Q58" s="182"/>
      <c r="R58" s="182"/>
      <c r="S58" s="167"/>
      <c r="T58" s="159"/>
      <c r="U58" s="187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G58" s="75"/>
      <c r="AJ58" s="34"/>
    </row>
    <row r="59" spans="3:44" ht="15" customHeight="1" x14ac:dyDescent="0.15">
      <c r="C59" s="48"/>
      <c r="E59" s="159"/>
      <c r="F59" s="159"/>
      <c r="G59" s="159"/>
      <c r="H59" s="159"/>
      <c r="I59" s="173"/>
      <c r="J59" s="159"/>
      <c r="K59" s="159"/>
      <c r="L59" s="186"/>
      <c r="M59" s="187"/>
      <c r="N59" s="187"/>
      <c r="O59" s="193"/>
      <c r="P59" s="182"/>
      <c r="Q59" s="182"/>
      <c r="R59" s="167"/>
      <c r="S59" s="159"/>
      <c r="T59" s="187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G59" s="75"/>
      <c r="AJ59" s="34"/>
    </row>
    <row r="60" spans="3:44" ht="15" customHeight="1" x14ac:dyDescent="0.15">
      <c r="C60" s="48"/>
      <c r="E60" s="159"/>
      <c r="F60" s="159"/>
      <c r="G60" s="159"/>
      <c r="H60" s="159"/>
      <c r="I60" s="173"/>
      <c r="J60" s="159"/>
      <c r="K60" s="159"/>
      <c r="L60" s="186"/>
      <c r="M60" s="187"/>
      <c r="N60" s="187"/>
      <c r="O60" s="193"/>
      <c r="P60" s="182"/>
      <c r="Q60" s="182"/>
      <c r="R60" s="167"/>
      <c r="S60" s="159"/>
      <c r="T60" s="187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G60" s="75"/>
      <c r="AJ60" s="34"/>
    </row>
    <row r="61" spans="3:44" ht="15" customHeight="1" x14ac:dyDescent="0.15">
      <c r="C61" s="48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G61" s="75"/>
      <c r="AJ61" s="34"/>
    </row>
    <row r="62" spans="3:44" ht="15" customHeight="1" x14ac:dyDescent="0.15">
      <c r="C62" s="48"/>
      <c r="E62" s="159"/>
      <c r="F62" s="195" t="s">
        <v>71</v>
      </c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G62" s="75"/>
    </row>
    <row r="63" spans="3:44" ht="15" hidden="1" customHeight="1" x14ac:dyDescent="0.15">
      <c r="C63" s="48"/>
      <c r="AG63" s="75"/>
    </row>
    <row r="64" spans="3:44" ht="13.5" hidden="1" customHeight="1" x14ac:dyDescent="0.15">
      <c r="AJ64" s="34"/>
    </row>
    <row r="65" spans="6:36" ht="13.5" hidden="1" customHeight="1" thickBot="1" x14ac:dyDescent="0.2">
      <c r="G65" s="118" t="s">
        <v>144</v>
      </c>
      <c r="I65" s="35"/>
      <c r="J65" s="115"/>
      <c r="K65" s="116" t="s">
        <v>141</v>
      </c>
      <c r="L65" s="117"/>
      <c r="N65" s="115"/>
      <c r="O65" s="116" t="s">
        <v>142</v>
      </c>
      <c r="P65" s="117"/>
      <c r="Q65" s="114" t="s">
        <v>140</v>
      </c>
      <c r="R65" s="115"/>
      <c r="S65" s="116" t="s">
        <v>143</v>
      </c>
      <c r="T65" s="117"/>
      <c r="AI65" s="38" t="s">
        <v>68</v>
      </c>
      <c r="AJ65" s="34"/>
    </row>
    <row r="66" spans="6:36" ht="13.5" hidden="1" customHeight="1" thickBot="1" x14ac:dyDescent="0.2">
      <c r="I66" s="114" t="s">
        <v>145</v>
      </c>
      <c r="J66" s="308" t="e">
        <f>+S17-L47</f>
        <v>#DIV/0!</v>
      </c>
      <c r="K66" s="309"/>
      <c r="L66" s="310"/>
      <c r="N66" s="308" t="e">
        <f>+S17-L47+AH57/12</f>
        <v>#DIV/0!</v>
      </c>
      <c r="O66" s="309"/>
      <c r="P66" s="310"/>
      <c r="Q66" s="112"/>
      <c r="R66" s="308" t="e">
        <f>+L17-V47</f>
        <v>#DIV/0!</v>
      </c>
      <c r="S66" s="309"/>
      <c r="T66" s="310"/>
      <c r="AJ66" s="34"/>
    </row>
    <row r="67" spans="6:36" hidden="1" x14ac:dyDescent="0.15">
      <c r="I67" s="35"/>
      <c r="J67" s="34"/>
      <c r="K67" s="34"/>
      <c r="L67" s="113"/>
      <c r="M67" s="35"/>
      <c r="N67" s="113"/>
      <c r="O67" s="34"/>
      <c r="P67" s="34"/>
      <c r="Q67" s="34"/>
      <c r="AJ67" s="34"/>
    </row>
    <row r="68" spans="6:36" hidden="1" x14ac:dyDescent="0.15">
      <c r="I68" s="35"/>
      <c r="J68" s="34"/>
      <c r="K68" s="34"/>
      <c r="L68" s="100"/>
      <c r="M68" s="101"/>
      <c r="N68" s="101"/>
      <c r="O68" s="34"/>
      <c r="P68" s="34"/>
      <c r="Q68" s="34"/>
    </row>
    <row r="69" spans="6:36" hidden="1" x14ac:dyDescent="0.15">
      <c r="I69" s="35"/>
      <c r="J69" s="34"/>
      <c r="K69" s="34"/>
      <c r="M69" s="30"/>
      <c r="S69" s="30"/>
    </row>
    <row r="70" spans="6:36" hidden="1" x14ac:dyDescent="0.15">
      <c r="I70" s="30"/>
      <c r="M70" s="30"/>
      <c r="S70" s="30"/>
    </row>
    <row r="71" spans="6:36" hidden="1" x14ac:dyDescent="0.15">
      <c r="I71" s="30"/>
      <c r="M71" s="30"/>
      <c r="S71" s="30"/>
    </row>
    <row r="72" spans="6:36" hidden="1" x14ac:dyDescent="0.15">
      <c r="I72" s="30"/>
      <c r="M72" s="30"/>
      <c r="S72" s="30"/>
    </row>
    <row r="73" spans="6:36" hidden="1" x14ac:dyDescent="0.15"/>
    <row r="74" spans="6:36" hidden="1" x14ac:dyDescent="0.15">
      <c r="F74" s="38" t="s">
        <v>61</v>
      </c>
      <c r="G74" s="46"/>
      <c r="H74" s="46"/>
      <c r="I74" s="92"/>
      <c r="J74" s="45"/>
      <c r="K74" s="46"/>
      <c r="L74" s="92"/>
      <c r="M74" s="92" t="s">
        <v>41</v>
      </c>
      <c r="N74" s="92"/>
      <c r="O74" s="93"/>
      <c r="P74" s="93"/>
      <c r="Q74" s="92" t="s">
        <v>77</v>
      </c>
      <c r="R74" s="95"/>
      <c r="S74" s="92"/>
      <c r="T74" s="45"/>
      <c r="U74" s="92" t="s">
        <v>70</v>
      </c>
      <c r="V74" s="46"/>
      <c r="W74" s="92"/>
      <c r="X74" s="92"/>
      <c r="Y74" s="92" t="s">
        <v>79</v>
      </c>
      <c r="Z74" s="92"/>
      <c r="AA74" s="38"/>
      <c r="AB74" s="38"/>
    </row>
    <row r="75" spans="6:36" hidden="1" x14ac:dyDescent="0.15">
      <c r="F75" s="45"/>
      <c r="G75" s="38"/>
      <c r="H75" s="46"/>
      <c r="I75" s="92"/>
      <c r="J75" s="38"/>
      <c r="K75" s="40" t="s">
        <v>78</v>
      </c>
      <c r="L75" s="273">
        <f>+Z31</f>
        <v>-91000</v>
      </c>
      <c r="M75" s="274"/>
      <c r="N75" s="275"/>
      <c r="O75" s="52" t="s">
        <v>95</v>
      </c>
      <c r="P75" s="273">
        <f>+S17</f>
        <v>0</v>
      </c>
      <c r="Q75" s="274"/>
      <c r="R75" s="275"/>
      <c r="S75" s="52" t="s">
        <v>63</v>
      </c>
      <c r="T75" s="273">
        <f>+K31</f>
        <v>0</v>
      </c>
      <c r="U75" s="274"/>
      <c r="V75" s="275"/>
      <c r="W75" s="94" t="s">
        <v>51</v>
      </c>
      <c r="X75" s="273" t="e">
        <f>ROUND(AM31,2)</f>
        <v>#DIV/0!</v>
      </c>
      <c r="Y75" s="274"/>
      <c r="Z75" s="275"/>
      <c r="AA75" s="38"/>
      <c r="AB75" s="38"/>
    </row>
    <row r="76" spans="6:36" hidden="1" x14ac:dyDescent="0.15">
      <c r="F76" s="45"/>
      <c r="G76" s="38"/>
      <c r="H76" s="46"/>
      <c r="I76" s="92"/>
      <c r="J76" s="45"/>
      <c r="K76" s="46"/>
      <c r="L76" s="45"/>
      <c r="M76" s="46"/>
      <c r="N76" s="46"/>
      <c r="O76" s="38"/>
      <c r="P76" s="45"/>
      <c r="Q76" s="46"/>
      <c r="R76" s="46"/>
      <c r="S76" s="38"/>
      <c r="T76" s="45"/>
      <c r="U76" s="46"/>
      <c r="V76" s="46"/>
      <c r="W76" s="92"/>
      <c r="X76" s="45"/>
      <c r="Y76" s="105"/>
      <c r="Z76" s="46"/>
      <c r="AA76" s="38"/>
      <c r="AB76" s="38"/>
    </row>
    <row r="77" spans="6:36" hidden="1" x14ac:dyDescent="0.15"/>
    <row r="78" spans="6:36" hidden="1" x14ac:dyDescent="0.15"/>
  </sheetData>
  <sheetProtection password="CA9C" sheet="1" objects="1" scenarios="1" selectLockedCells="1"/>
  <mergeCells count="77">
    <mergeCell ref="AT39:AV39"/>
    <mergeCell ref="G31:I31"/>
    <mergeCell ref="K31:M31"/>
    <mergeCell ref="O31:S31"/>
    <mergeCell ref="U31:W31"/>
    <mergeCell ref="L39:N39"/>
    <mergeCell ref="Q39:S39"/>
    <mergeCell ref="V39:X39"/>
    <mergeCell ref="T39:U39"/>
    <mergeCell ref="Y39:Z39"/>
    <mergeCell ref="AT35:AV35"/>
    <mergeCell ref="AL35:AN35"/>
    <mergeCell ref="AP35:AR35"/>
    <mergeCell ref="AH35:AJ35"/>
    <mergeCell ref="AH31:AJ31"/>
    <mergeCell ref="AM31:AO31"/>
    <mergeCell ref="AP39:AR39"/>
    <mergeCell ref="AH39:AJ39"/>
    <mergeCell ref="L57:N57"/>
    <mergeCell ref="O57:P57"/>
    <mergeCell ref="AL47:AN47"/>
    <mergeCell ref="AH47:AJ47"/>
    <mergeCell ref="L75:N75"/>
    <mergeCell ref="P75:R75"/>
    <mergeCell ref="R66:T66"/>
    <mergeCell ref="J66:L66"/>
    <mergeCell ref="L51:N51"/>
    <mergeCell ref="O17:R17"/>
    <mergeCell ref="T23:V23"/>
    <mergeCell ref="L47:N47"/>
    <mergeCell ref="V47:X47"/>
    <mergeCell ref="X75:Z75"/>
    <mergeCell ref="Q51:S51"/>
    <mergeCell ref="O39:P39"/>
    <mergeCell ref="O51:P51"/>
    <mergeCell ref="P23:R23"/>
    <mergeCell ref="L23:N23"/>
    <mergeCell ref="X23:Z23"/>
    <mergeCell ref="T75:V75"/>
    <mergeCell ref="Q57:S57"/>
    <mergeCell ref="Z31:AB31"/>
    <mergeCell ref="AA39:AC39"/>
    <mergeCell ref="N66:P66"/>
    <mergeCell ref="AL10:AN10"/>
    <mergeCell ref="AL17:AN17"/>
    <mergeCell ref="AL14:AN14"/>
    <mergeCell ref="AH14:AJ14"/>
    <mergeCell ref="T10:V10"/>
    <mergeCell ref="W10:Y10"/>
    <mergeCell ref="S14:U14"/>
    <mergeCell ref="AH20:AJ20"/>
    <mergeCell ref="AH10:AJ10"/>
    <mergeCell ref="AH17:AJ17"/>
    <mergeCell ref="O47:U47"/>
    <mergeCell ref="F4:AD5"/>
    <mergeCell ref="AA10:AC10"/>
    <mergeCell ref="L17:N17"/>
    <mergeCell ref="S17:U17"/>
    <mergeCell ref="H10:J10"/>
    <mergeCell ref="L10:N10"/>
    <mergeCell ref="P10:R10"/>
    <mergeCell ref="L20:N20"/>
    <mergeCell ref="O20:R20"/>
    <mergeCell ref="S20:U20"/>
    <mergeCell ref="L14:N14"/>
    <mergeCell ref="O14:R14"/>
    <mergeCell ref="F56:I57"/>
    <mergeCell ref="AT47:AV47"/>
    <mergeCell ref="AX47:AZ47"/>
    <mergeCell ref="T57:U57"/>
    <mergeCell ref="V57:X57"/>
    <mergeCell ref="AL57:AN57"/>
    <mergeCell ref="AP47:AR47"/>
    <mergeCell ref="V51:X51"/>
    <mergeCell ref="T51:U51"/>
    <mergeCell ref="AK54:AR55"/>
    <mergeCell ref="AH57:AJ57"/>
  </mergeCells>
  <phoneticPr fontId="2"/>
  <pageMargins left="0.7" right="0.7" top="0.75" bottom="0.75" header="0.3" footer="0.3"/>
  <pageSetup paperSize="9" scale="87" orientation="portrait" r:id="rId1"/>
  <colBreaks count="1" manualBreakCount="1">
    <brk id="31" max="4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Z80"/>
  <sheetViews>
    <sheetView topLeftCell="E1" zoomScaleNormal="100" zoomScaleSheetLayoutView="100" workbookViewId="0">
      <selection activeCell="E3" sqref="E3"/>
    </sheetView>
  </sheetViews>
  <sheetFormatPr defaultRowHeight="13.5" x14ac:dyDescent="0.15"/>
  <cols>
    <col min="1" max="4" width="3.625" style="30" hidden="1" customWidth="1"/>
    <col min="5" max="8" width="3.625" style="30" customWidth="1"/>
    <col min="9" max="9" width="3.625" style="31" customWidth="1"/>
    <col min="10" max="12" width="3.625" style="30" customWidth="1"/>
    <col min="13" max="13" width="3.625" style="31" customWidth="1"/>
    <col min="14" max="18" width="3.625" style="30" customWidth="1"/>
    <col min="19" max="19" width="3.625" style="31" customWidth="1"/>
    <col min="20" max="31" width="3.625" style="30" customWidth="1"/>
    <col min="32" max="52" width="3.625" style="30" hidden="1" customWidth="1"/>
    <col min="53" max="72" width="3.625" style="30" customWidth="1"/>
    <col min="73" max="16384" width="9" style="30"/>
  </cols>
  <sheetData>
    <row r="1" spans="1:46" ht="19.5" thickBot="1" x14ac:dyDescent="0.2">
      <c r="A1" s="103" t="s">
        <v>82</v>
      </c>
      <c r="B1" s="103"/>
      <c r="C1" s="103"/>
      <c r="D1" s="103"/>
      <c r="E1" s="168" t="s">
        <v>197</v>
      </c>
      <c r="F1" s="169"/>
      <c r="G1" s="169"/>
      <c r="H1" s="170"/>
      <c r="I1" s="171"/>
      <c r="J1" s="172"/>
      <c r="K1" s="172"/>
      <c r="L1" s="172"/>
      <c r="M1" s="171"/>
      <c r="N1" s="159"/>
      <c r="O1" s="159"/>
      <c r="P1" s="159"/>
      <c r="Q1" s="159"/>
      <c r="R1" s="159"/>
      <c r="S1" s="173"/>
      <c r="T1" s="159"/>
      <c r="U1" s="159"/>
      <c r="V1" s="159" t="str">
        <f>IF(入力シート!C19=0,"一般","現職組合員")</f>
        <v>一般</v>
      </c>
      <c r="W1" s="159"/>
      <c r="X1" s="159"/>
      <c r="Y1" s="159"/>
      <c r="Z1" s="159"/>
      <c r="AA1" s="159"/>
      <c r="AB1" s="159"/>
      <c r="AC1" s="159"/>
      <c r="AD1" s="159"/>
      <c r="AE1" s="159"/>
    </row>
    <row r="2" spans="1:46" ht="14.25" thickTop="1" x14ac:dyDescent="0.15">
      <c r="E2" s="159" t="s">
        <v>285</v>
      </c>
      <c r="F2" s="159"/>
      <c r="G2" s="159"/>
      <c r="H2" s="159"/>
      <c r="I2" s="173"/>
      <c r="J2" s="159"/>
      <c r="K2" s="159"/>
      <c r="L2" s="159"/>
      <c r="M2" s="173"/>
      <c r="N2" s="159"/>
      <c r="O2" s="159"/>
      <c r="P2" s="159"/>
      <c r="Q2" s="159"/>
      <c r="R2" s="159"/>
      <c r="S2" s="173"/>
      <c r="T2" s="159"/>
      <c r="U2" s="159"/>
      <c r="V2" s="159"/>
      <c r="W2" s="159"/>
      <c r="X2" s="159"/>
      <c r="Y2" s="159"/>
      <c r="Z2" s="159"/>
      <c r="AA2" s="174" t="str">
        <f>+入力シート!J16</f>
        <v>0</v>
      </c>
      <c r="AB2" s="159"/>
      <c r="AC2" s="159"/>
      <c r="AD2" s="159"/>
      <c r="AE2" s="159"/>
      <c r="AH2" s="317" t="str">
        <f>+Sheet3!Q3</f>
        <v>賃金のみで47万円超の場合</v>
      </c>
      <c r="AI2" s="318"/>
      <c r="AJ2" s="318"/>
      <c r="AK2" s="318"/>
      <c r="AL2" s="318"/>
      <c r="AM2" s="318"/>
      <c r="AN2" s="318"/>
      <c r="AO2" s="318"/>
      <c r="AP2" s="319"/>
    </row>
    <row r="3" spans="1:46" x14ac:dyDescent="0.15">
      <c r="B3" s="30">
        <v>2</v>
      </c>
      <c r="C3" s="48"/>
      <c r="E3" s="159"/>
      <c r="F3" s="159"/>
      <c r="G3" s="159"/>
      <c r="H3" s="159"/>
      <c r="I3" s="173"/>
      <c r="J3" s="159"/>
      <c r="K3" s="159"/>
      <c r="L3" s="159"/>
      <c r="M3" s="173"/>
      <c r="N3" s="159"/>
      <c r="O3" s="159"/>
      <c r="P3" s="159"/>
      <c r="Q3" s="159"/>
      <c r="R3" s="159"/>
      <c r="S3" s="173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G3" s="75"/>
      <c r="AH3" s="320"/>
      <c r="AI3" s="321"/>
      <c r="AJ3" s="321"/>
      <c r="AK3" s="321"/>
      <c r="AL3" s="321"/>
      <c r="AM3" s="321"/>
      <c r="AN3" s="321"/>
      <c r="AO3" s="321"/>
      <c r="AP3" s="322"/>
    </row>
    <row r="4" spans="1:46" ht="13.5" customHeight="1" x14ac:dyDescent="0.15">
      <c r="C4" s="48"/>
      <c r="E4" s="159"/>
      <c r="F4" s="245" t="s">
        <v>187</v>
      </c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159"/>
      <c r="AG4" s="75"/>
      <c r="AH4" s="320"/>
      <c r="AI4" s="321"/>
      <c r="AJ4" s="321"/>
      <c r="AK4" s="321"/>
      <c r="AL4" s="321"/>
      <c r="AM4" s="321"/>
      <c r="AN4" s="321"/>
      <c r="AO4" s="321"/>
      <c r="AP4" s="322"/>
      <c r="AR4" s="44"/>
      <c r="AS4" s="140"/>
      <c r="AT4" s="140"/>
    </row>
    <row r="5" spans="1:46" ht="13.5" customHeight="1" thickBot="1" x14ac:dyDescent="0.2">
      <c r="C5" s="48"/>
      <c r="E5" s="159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159"/>
      <c r="AG5" s="75"/>
      <c r="AH5" s="323"/>
      <c r="AI5" s="324"/>
      <c r="AJ5" s="324"/>
      <c r="AK5" s="324"/>
      <c r="AL5" s="324"/>
      <c r="AM5" s="324"/>
      <c r="AN5" s="324"/>
      <c r="AO5" s="324"/>
      <c r="AP5" s="325"/>
      <c r="AR5" s="141"/>
      <c r="AS5" s="142"/>
      <c r="AT5" s="142"/>
    </row>
    <row r="6" spans="1:46" ht="14.25" thickTop="1" x14ac:dyDescent="0.15">
      <c r="C6" s="48"/>
      <c r="E6" s="159"/>
      <c r="F6" s="159"/>
      <c r="G6" s="159"/>
      <c r="H6" s="159"/>
      <c r="I6" s="173"/>
      <c r="J6" s="159"/>
      <c r="K6" s="159"/>
      <c r="L6" s="159"/>
      <c r="M6" s="173"/>
      <c r="N6" s="159"/>
      <c r="O6" s="159"/>
      <c r="P6" s="159"/>
      <c r="Q6" s="159"/>
      <c r="R6" s="159"/>
      <c r="S6" s="173"/>
      <c r="T6" s="159"/>
      <c r="U6" s="159"/>
      <c r="V6" s="159"/>
      <c r="W6" s="159"/>
      <c r="X6" s="159"/>
      <c r="Y6" s="159"/>
      <c r="Z6" s="159"/>
      <c r="AA6" s="175"/>
      <c r="AB6" s="159"/>
      <c r="AC6" s="159"/>
      <c r="AD6" s="159"/>
      <c r="AE6" s="159"/>
      <c r="AG6" s="75"/>
    </row>
    <row r="7" spans="1:46" ht="17.25" x14ac:dyDescent="0.15">
      <c r="C7" s="48"/>
      <c r="E7" s="176" t="s">
        <v>163</v>
      </c>
      <c r="F7" s="159"/>
      <c r="G7" s="159"/>
      <c r="H7" s="159"/>
      <c r="I7" s="173"/>
      <c r="J7" s="159"/>
      <c r="K7" s="159"/>
      <c r="L7" s="159"/>
      <c r="M7" s="173"/>
      <c r="N7" s="159"/>
      <c r="O7" s="159"/>
      <c r="P7" s="159"/>
      <c r="Q7" s="159"/>
      <c r="R7" s="159"/>
      <c r="S7" s="173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G7" s="75"/>
    </row>
    <row r="8" spans="1:46" ht="15" customHeight="1" x14ac:dyDescent="0.15">
      <c r="C8" s="48"/>
      <c r="E8" s="159"/>
      <c r="F8" s="159"/>
      <c r="G8" s="159"/>
      <c r="H8" s="159"/>
      <c r="I8" s="173"/>
      <c r="J8" s="159"/>
      <c r="K8" s="159"/>
      <c r="L8" s="159"/>
      <c r="M8" s="173"/>
      <c r="N8" s="159"/>
      <c r="O8" s="159"/>
      <c r="P8" s="159"/>
      <c r="Q8" s="159"/>
      <c r="R8" s="159"/>
      <c r="S8" s="173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G8" s="75"/>
      <c r="AI8" s="130"/>
    </row>
    <row r="9" spans="1:46" ht="15" customHeight="1" thickBot="1" x14ac:dyDescent="0.2">
      <c r="C9" s="48"/>
      <c r="E9" s="159"/>
      <c r="F9" s="159"/>
      <c r="G9" s="159"/>
      <c r="H9" s="162"/>
      <c r="I9" s="160" t="s">
        <v>1</v>
      </c>
      <c r="J9" s="160"/>
      <c r="K9" s="173"/>
      <c r="L9" s="162"/>
      <c r="M9" s="160" t="s">
        <v>36</v>
      </c>
      <c r="N9" s="160"/>
      <c r="O9" s="159"/>
      <c r="P9" s="162"/>
      <c r="Q9" s="160" t="s">
        <v>36</v>
      </c>
      <c r="R9" s="160"/>
      <c r="S9" s="159"/>
      <c r="T9" s="162"/>
      <c r="U9" s="160" t="s">
        <v>36</v>
      </c>
      <c r="V9" s="160"/>
      <c r="W9" s="159"/>
      <c r="X9" s="159"/>
      <c r="Y9" s="159"/>
      <c r="Z9" s="160"/>
      <c r="AA9" s="160"/>
      <c r="AB9" s="160" t="s">
        <v>181</v>
      </c>
      <c r="AC9" s="160"/>
      <c r="AD9" s="159"/>
      <c r="AE9" s="159"/>
      <c r="AG9" s="75"/>
      <c r="AH9" s="130"/>
      <c r="AI9" s="65" t="s">
        <v>99</v>
      </c>
      <c r="AJ9" s="130"/>
      <c r="AM9" s="136" t="s">
        <v>203</v>
      </c>
    </row>
    <row r="10" spans="1:46" ht="15" customHeight="1" thickTop="1" thickBot="1" x14ac:dyDescent="0.2">
      <c r="C10" s="48"/>
      <c r="E10" s="159"/>
      <c r="F10" s="162" t="s">
        <v>58</v>
      </c>
      <c r="G10" s="159"/>
      <c r="H10" s="247">
        <f>+入力シート!D6</f>
        <v>98000</v>
      </c>
      <c r="I10" s="248"/>
      <c r="J10" s="249"/>
      <c r="K10" s="178" t="s">
        <v>86</v>
      </c>
      <c r="L10" s="247">
        <f>+入力シート!E6</f>
        <v>0</v>
      </c>
      <c r="M10" s="250"/>
      <c r="N10" s="251"/>
      <c r="O10" s="163" t="s">
        <v>50</v>
      </c>
      <c r="P10" s="247">
        <f>+入力シート!F6</f>
        <v>0</v>
      </c>
      <c r="Q10" s="250"/>
      <c r="R10" s="251"/>
      <c r="S10" s="163" t="s">
        <v>50</v>
      </c>
      <c r="T10" s="247">
        <f>+入力シート!G6</f>
        <v>0</v>
      </c>
      <c r="U10" s="250"/>
      <c r="V10" s="251"/>
      <c r="W10" s="252" t="s">
        <v>88</v>
      </c>
      <c r="X10" s="253"/>
      <c r="Y10" s="253"/>
      <c r="Z10" s="163" t="s">
        <v>51</v>
      </c>
      <c r="AA10" s="260">
        <f>ROUNDDOWN(AH10,0)</f>
        <v>98000</v>
      </c>
      <c r="AB10" s="261"/>
      <c r="AC10" s="262"/>
      <c r="AD10" s="159"/>
      <c r="AE10" s="159"/>
      <c r="AG10" s="75"/>
      <c r="AH10" s="266">
        <f>+H10+(L10+P10+T10)/12</f>
        <v>98000</v>
      </c>
      <c r="AI10" s="267"/>
      <c r="AJ10" s="268"/>
      <c r="AL10" s="254">
        <f>+算定シート1!D19</f>
        <v>98000</v>
      </c>
      <c r="AM10" s="255"/>
      <c r="AN10" s="256"/>
    </row>
    <row r="11" spans="1:46" ht="15" customHeight="1" x14ac:dyDescent="0.15">
      <c r="C11" s="48"/>
      <c r="E11" s="159"/>
      <c r="F11" s="159"/>
      <c r="G11" s="159"/>
      <c r="H11" s="159"/>
      <c r="I11" s="173"/>
      <c r="J11" s="159"/>
      <c r="K11" s="159"/>
      <c r="L11" s="159"/>
      <c r="M11" s="173"/>
      <c r="N11" s="159"/>
      <c r="O11" s="159"/>
      <c r="P11" s="159"/>
      <c r="Q11" s="159"/>
      <c r="R11" s="159"/>
      <c r="S11" s="173"/>
      <c r="T11" s="159"/>
      <c r="U11" s="159"/>
      <c r="V11" s="159"/>
      <c r="W11" s="159"/>
      <c r="X11" s="159"/>
      <c r="Y11" s="159"/>
      <c r="Z11" s="159"/>
      <c r="AA11" s="159"/>
      <c r="AB11" s="167" t="s">
        <v>76</v>
      </c>
      <c r="AC11" s="159"/>
      <c r="AD11" s="159"/>
      <c r="AE11" s="159"/>
      <c r="AG11" s="75"/>
      <c r="AH11" s="79"/>
      <c r="AI11" s="79"/>
      <c r="AJ11" s="79"/>
      <c r="AL11" s="79"/>
      <c r="AM11" s="79"/>
      <c r="AN11" s="79"/>
    </row>
    <row r="12" spans="1:46" ht="15" customHeight="1" x14ac:dyDescent="0.15">
      <c r="C12" s="48"/>
      <c r="E12" s="159"/>
      <c r="F12" s="159"/>
      <c r="G12" s="159"/>
      <c r="H12" s="159"/>
      <c r="I12" s="173"/>
      <c r="J12" s="159"/>
      <c r="K12" s="159"/>
      <c r="L12" s="159"/>
      <c r="M12" s="173"/>
      <c r="N12" s="159"/>
      <c r="O12" s="159"/>
      <c r="P12" s="159"/>
      <c r="Q12" s="159"/>
      <c r="R12" s="159"/>
      <c r="S12" s="173"/>
      <c r="T12" s="159"/>
      <c r="U12" s="159"/>
      <c r="V12" s="159"/>
      <c r="W12" s="159"/>
      <c r="X12" s="159"/>
      <c r="Y12" s="159"/>
      <c r="Z12" s="159"/>
      <c r="AA12" s="159"/>
      <c r="AB12" s="167"/>
      <c r="AC12" s="159"/>
      <c r="AD12" s="159"/>
      <c r="AE12" s="159"/>
      <c r="AG12" s="75"/>
      <c r="AH12" s="79"/>
      <c r="AI12" s="79"/>
      <c r="AJ12" s="79"/>
      <c r="AL12" s="79"/>
      <c r="AM12" s="79"/>
      <c r="AN12" s="79"/>
    </row>
    <row r="13" spans="1:46" ht="15" customHeight="1" thickBot="1" x14ac:dyDescent="0.2">
      <c r="C13" s="48"/>
      <c r="E13" s="159"/>
      <c r="F13" s="159"/>
      <c r="G13" s="159"/>
      <c r="H13" s="159"/>
      <c r="I13" s="173"/>
      <c r="J13" s="159"/>
      <c r="K13" s="159"/>
      <c r="L13" s="162"/>
      <c r="M13" s="164" t="s">
        <v>153</v>
      </c>
      <c r="N13" s="160"/>
      <c r="O13" s="159"/>
      <c r="P13" s="159"/>
      <c r="Q13" s="159"/>
      <c r="R13" s="159"/>
      <c r="S13" s="160"/>
      <c r="T13" s="160" t="s">
        <v>191</v>
      </c>
      <c r="U13" s="160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G13" s="75"/>
      <c r="AH13" s="80"/>
      <c r="AI13" s="102" t="s">
        <v>101</v>
      </c>
      <c r="AJ13" s="80"/>
      <c r="AL13" s="80"/>
      <c r="AM13" s="136" t="s">
        <v>203</v>
      </c>
      <c r="AN13" s="80"/>
    </row>
    <row r="14" spans="1:46" ht="15" customHeight="1" thickTop="1" thickBot="1" x14ac:dyDescent="0.2">
      <c r="C14" s="48"/>
      <c r="E14" s="159"/>
      <c r="F14" s="162" t="s">
        <v>184</v>
      </c>
      <c r="G14" s="159"/>
      <c r="H14" s="159"/>
      <c r="I14" s="173"/>
      <c r="J14" s="159"/>
      <c r="K14" s="159"/>
      <c r="L14" s="247">
        <f>+入力シート!D15</f>
        <v>0</v>
      </c>
      <c r="M14" s="248"/>
      <c r="N14" s="249"/>
      <c r="O14" s="257" t="s">
        <v>150</v>
      </c>
      <c r="P14" s="258"/>
      <c r="Q14" s="258"/>
      <c r="R14" s="259"/>
      <c r="S14" s="260">
        <f>ROUND(AH14,2)</f>
        <v>0</v>
      </c>
      <c r="T14" s="261"/>
      <c r="U14" s="262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G14" s="75"/>
      <c r="AH14" s="263">
        <f>+L14/12</f>
        <v>0</v>
      </c>
      <c r="AI14" s="264"/>
      <c r="AJ14" s="265"/>
      <c r="AL14" s="254">
        <f>+算定シート1!D27</f>
        <v>0</v>
      </c>
      <c r="AM14" s="255"/>
      <c r="AN14" s="256"/>
    </row>
    <row r="15" spans="1:46" ht="15" customHeight="1" x14ac:dyDescent="0.15">
      <c r="C15" s="48"/>
      <c r="E15" s="159"/>
      <c r="F15" s="159"/>
      <c r="G15" s="159"/>
      <c r="H15" s="159"/>
      <c r="I15" s="173"/>
      <c r="J15" s="159"/>
      <c r="K15" s="159"/>
      <c r="L15" s="159"/>
      <c r="M15" s="159"/>
      <c r="N15" s="159"/>
      <c r="O15" s="173"/>
      <c r="P15" s="173"/>
      <c r="Q15" s="173"/>
      <c r="R15" s="173"/>
      <c r="S15" s="159"/>
      <c r="T15" s="167"/>
      <c r="U15" s="159"/>
      <c r="V15" s="160"/>
      <c r="W15" s="159"/>
      <c r="X15" s="159"/>
      <c r="Y15" s="159"/>
      <c r="Z15" s="159"/>
      <c r="AA15" s="159"/>
      <c r="AB15" s="159"/>
      <c r="AC15" s="159"/>
      <c r="AD15" s="159"/>
      <c r="AE15" s="159"/>
      <c r="AG15" s="75"/>
      <c r="AH15" s="79"/>
      <c r="AI15" s="79"/>
      <c r="AJ15" s="79"/>
      <c r="AL15" s="79"/>
      <c r="AM15" s="79"/>
      <c r="AN15" s="79"/>
    </row>
    <row r="16" spans="1:46" ht="15" customHeight="1" thickBot="1" x14ac:dyDescent="0.2">
      <c r="C16" s="48"/>
      <c r="E16" s="159"/>
      <c r="F16" s="159"/>
      <c r="G16" s="159"/>
      <c r="H16" s="159"/>
      <c r="I16" s="173"/>
      <c r="J16" s="159"/>
      <c r="K16" s="159"/>
      <c r="L16" s="179"/>
      <c r="M16" s="164" t="s">
        <v>153</v>
      </c>
      <c r="N16" s="164"/>
      <c r="O16" s="180"/>
      <c r="P16" s="173"/>
      <c r="Q16" s="173"/>
      <c r="R16" s="173"/>
      <c r="S16" s="160"/>
      <c r="T16" s="160" t="s">
        <v>192</v>
      </c>
      <c r="U16" s="160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G16" s="75"/>
      <c r="AH16" s="80"/>
      <c r="AI16" s="102" t="s">
        <v>100</v>
      </c>
      <c r="AJ16" s="80"/>
      <c r="AL16" s="80"/>
      <c r="AM16" s="136" t="s">
        <v>203</v>
      </c>
      <c r="AN16" s="80"/>
    </row>
    <row r="17" spans="1:45" ht="15" customHeight="1" thickTop="1" thickBot="1" x14ac:dyDescent="0.2">
      <c r="C17" s="48"/>
      <c r="E17" s="159"/>
      <c r="F17" s="162" t="s">
        <v>185</v>
      </c>
      <c r="G17" s="159"/>
      <c r="H17" s="159"/>
      <c r="I17" s="173"/>
      <c r="J17" s="181"/>
      <c r="K17" s="159"/>
      <c r="L17" s="247">
        <f>+入力シート!D9</f>
        <v>0</v>
      </c>
      <c r="M17" s="248"/>
      <c r="N17" s="249"/>
      <c r="O17" s="257" t="s">
        <v>150</v>
      </c>
      <c r="P17" s="258"/>
      <c r="Q17" s="258"/>
      <c r="R17" s="259"/>
      <c r="S17" s="260">
        <f>ROUND(AH17,2)</f>
        <v>0</v>
      </c>
      <c r="T17" s="261"/>
      <c r="U17" s="262"/>
      <c r="V17" s="182"/>
      <c r="W17" s="159"/>
      <c r="X17" s="159"/>
      <c r="Y17" s="159"/>
      <c r="Z17" s="159"/>
      <c r="AA17" s="159"/>
      <c r="AB17" s="159"/>
      <c r="AC17" s="159"/>
      <c r="AD17" s="159"/>
      <c r="AE17" s="159"/>
      <c r="AG17" s="75"/>
      <c r="AH17" s="266">
        <f>+(L17)/12</f>
        <v>0</v>
      </c>
      <c r="AI17" s="267"/>
      <c r="AJ17" s="268"/>
      <c r="AL17" s="254">
        <f>+算定シート1!D23</f>
        <v>0</v>
      </c>
      <c r="AM17" s="255"/>
      <c r="AN17" s="256"/>
    </row>
    <row r="18" spans="1:45" ht="15" customHeight="1" x14ac:dyDescent="0.15">
      <c r="C18" s="48"/>
      <c r="E18" s="159"/>
      <c r="F18" s="183" t="s">
        <v>73</v>
      </c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G18" s="75"/>
    </row>
    <row r="19" spans="1:45" ht="15" customHeight="1" thickBot="1" x14ac:dyDescent="0.2">
      <c r="C19" s="48"/>
      <c r="E19" s="159"/>
      <c r="F19" s="159"/>
      <c r="G19" s="159"/>
      <c r="H19" s="159"/>
      <c r="I19" s="173"/>
      <c r="J19" s="159"/>
      <c r="K19" s="159"/>
      <c r="L19" s="179"/>
      <c r="M19" s="164" t="s">
        <v>153</v>
      </c>
      <c r="N19" s="164"/>
      <c r="O19" s="180"/>
      <c r="P19" s="173"/>
      <c r="Q19" s="173"/>
      <c r="R19" s="173"/>
      <c r="S19" s="160"/>
      <c r="T19" s="160" t="s">
        <v>193</v>
      </c>
      <c r="U19" s="160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G19" s="75"/>
      <c r="AH19" s="80"/>
      <c r="AI19" s="102" t="s">
        <v>173</v>
      </c>
      <c r="AJ19" s="80"/>
    </row>
    <row r="20" spans="1:45" ht="15" customHeight="1" thickTop="1" thickBot="1" x14ac:dyDescent="0.2">
      <c r="C20" s="48"/>
      <c r="E20" s="159"/>
      <c r="F20" s="162" t="s">
        <v>186</v>
      </c>
      <c r="G20" s="159"/>
      <c r="H20" s="159"/>
      <c r="I20" s="173"/>
      <c r="J20" s="181"/>
      <c r="K20" s="159"/>
      <c r="L20" s="247">
        <f>+入力シート!D12</f>
        <v>0</v>
      </c>
      <c r="M20" s="248"/>
      <c r="N20" s="249"/>
      <c r="O20" s="257" t="s">
        <v>150</v>
      </c>
      <c r="P20" s="258"/>
      <c r="Q20" s="258"/>
      <c r="R20" s="259"/>
      <c r="S20" s="260">
        <f>ROUND(AH20,2)</f>
        <v>0</v>
      </c>
      <c r="T20" s="261"/>
      <c r="U20" s="262"/>
      <c r="V20" s="182"/>
      <c r="W20" s="159"/>
      <c r="X20" s="159"/>
      <c r="Y20" s="159"/>
      <c r="Z20" s="159"/>
      <c r="AA20" s="159"/>
      <c r="AB20" s="159"/>
      <c r="AC20" s="159"/>
      <c r="AD20" s="159"/>
      <c r="AE20" s="159"/>
      <c r="AG20" s="75"/>
      <c r="AH20" s="266">
        <f>+(L20)/12</f>
        <v>0</v>
      </c>
      <c r="AI20" s="267"/>
      <c r="AJ20" s="268"/>
    </row>
    <row r="21" spans="1:45" ht="15" customHeight="1" x14ac:dyDescent="0.15">
      <c r="C21" s="48"/>
      <c r="E21" s="159"/>
      <c r="F21" s="183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G21" s="75"/>
    </row>
    <row r="22" spans="1:45" ht="15" customHeight="1" thickBot="1" x14ac:dyDescent="0.2">
      <c r="C22" s="48"/>
      <c r="E22" s="159"/>
      <c r="F22" s="159" t="s">
        <v>40</v>
      </c>
      <c r="G22" s="159"/>
      <c r="H22" s="159"/>
      <c r="I22" s="173"/>
      <c r="J22" s="159"/>
      <c r="K22" s="159"/>
      <c r="L22" s="162"/>
      <c r="M22" s="160" t="s">
        <v>191</v>
      </c>
      <c r="N22" s="160"/>
      <c r="O22" s="159"/>
      <c r="P22" s="162"/>
      <c r="Q22" s="160" t="s">
        <v>192</v>
      </c>
      <c r="R22" s="160"/>
      <c r="S22" s="159"/>
      <c r="T22" s="162"/>
      <c r="U22" s="160" t="s">
        <v>193</v>
      </c>
      <c r="V22" s="160"/>
      <c r="W22" s="159"/>
      <c r="X22" s="160"/>
      <c r="Y22" s="160" t="s">
        <v>165</v>
      </c>
      <c r="Z22" s="160"/>
      <c r="AA22" s="159"/>
      <c r="AB22" s="159"/>
      <c r="AC22" s="159"/>
      <c r="AD22" s="159"/>
      <c r="AE22" s="159"/>
      <c r="AG22" s="75"/>
      <c r="AH22" s="130"/>
    </row>
    <row r="23" spans="1:45" ht="15" customHeight="1" thickTop="1" thickBot="1" x14ac:dyDescent="0.2">
      <c r="C23" s="48"/>
      <c r="E23" s="159"/>
      <c r="F23" s="162" t="s">
        <v>165</v>
      </c>
      <c r="G23" s="159"/>
      <c r="H23" s="159"/>
      <c r="I23" s="173"/>
      <c r="J23" s="159"/>
      <c r="K23" s="159"/>
      <c r="L23" s="247">
        <f>+S14</f>
        <v>0</v>
      </c>
      <c r="M23" s="250"/>
      <c r="N23" s="251"/>
      <c r="O23" s="184" t="s">
        <v>50</v>
      </c>
      <c r="P23" s="247">
        <f>+S17</f>
        <v>0</v>
      </c>
      <c r="Q23" s="248"/>
      <c r="R23" s="249"/>
      <c r="S23" s="184" t="s">
        <v>50</v>
      </c>
      <c r="T23" s="247">
        <f>+S20</f>
        <v>0</v>
      </c>
      <c r="U23" s="248"/>
      <c r="V23" s="249"/>
      <c r="W23" s="185" t="s">
        <v>51</v>
      </c>
      <c r="X23" s="260">
        <f>+P23+L23+T23</f>
        <v>0</v>
      </c>
      <c r="Y23" s="261"/>
      <c r="Z23" s="262"/>
      <c r="AA23" s="159"/>
      <c r="AB23" s="159"/>
      <c r="AC23" s="159"/>
      <c r="AD23" s="159"/>
      <c r="AE23" s="159"/>
      <c r="AG23" s="75"/>
    </row>
    <row r="24" spans="1:45" ht="15" customHeight="1" x14ac:dyDescent="0.15">
      <c r="C24" s="48"/>
      <c r="E24" s="159"/>
      <c r="F24" s="162"/>
      <c r="G24" s="159"/>
      <c r="H24" s="159"/>
      <c r="I24" s="173"/>
      <c r="J24" s="159"/>
      <c r="K24" s="186"/>
      <c r="L24" s="187"/>
      <c r="M24" s="187"/>
      <c r="N24" s="163"/>
      <c r="O24" s="186"/>
      <c r="P24" s="186"/>
      <c r="Q24" s="186"/>
      <c r="R24" s="160"/>
      <c r="S24" s="186"/>
      <c r="T24" s="187"/>
      <c r="U24" s="187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G24" s="75"/>
    </row>
    <row r="25" spans="1:45" ht="15" customHeight="1" x14ac:dyDescent="0.15">
      <c r="C25" s="48"/>
      <c r="E25" s="159"/>
      <c r="F25" s="162"/>
      <c r="G25" s="159"/>
      <c r="H25" s="159"/>
      <c r="I25" s="173"/>
      <c r="J25" s="159"/>
      <c r="K25" s="186"/>
      <c r="L25" s="187"/>
      <c r="M25" s="187"/>
      <c r="N25" s="163"/>
      <c r="O25" s="159"/>
      <c r="P25" s="159"/>
      <c r="Q25" s="159"/>
      <c r="R25" s="160"/>
      <c r="S25" s="186"/>
      <c r="T25" s="187"/>
      <c r="U25" s="187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G25" s="75"/>
    </row>
    <row r="26" spans="1:45" ht="15" customHeight="1" x14ac:dyDescent="0.15">
      <c r="C26" s="48"/>
      <c r="E26" s="159"/>
      <c r="F26" s="162"/>
      <c r="G26" s="159"/>
      <c r="H26" s="159"/>
      <c r="I26" s="173"/>
      <c r="J26" s="159"/>
      <c r="K26" s="186"/>
      <c r="L26" s="187"/>
      <c r="M26" s="187"/>
      <c r="N26" s="163"/>
      <c r="O26" s="186"/>
      <c r="P26" s="186"/>
      <c r="Q26" s="186"/>
      <c r="R26" s="160"/>
      <c r="S26" s="186"/>
      <c r="T26" s="187"/>
      <c r="U26" s="187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G26" s="75"/>
    </row>
    <row r="27" spans="1:45" ht="15" customHeight="1" x14ac:dyDescent="0.15">
      <c r="C27" s="48"/>
      <c r="E27" s="159"/>
      <c r="F27" s="159"/>
      <c r="G27" s="159"/>
      <c r="H27" s="159"/>
      <c r="I27" s="173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60" t="s">
        <v>40</v>
      </c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G27" s="75"/>
      <c r="AJ27" s="34"/>
    </row>
    <row r="28" spans="1:45" s="38" customFormat="1" ht="15" customHeight="1" x14ac:dyDescent="0.15">
      <c r="C28" s="47"/>
      <c r="E28" s="176" t="s">
        <v>164</v>
      </c>
      <c r="F28" s="162"/>
      <c r="G28" s="162"/>
      <c r="H28" s="162"/>
      <c r="I28" s="160"/>
      <c r="J28" s="162"/>
      <c r="K28" s="162"/>
      <c r="L28" s="162"/>
      <c r="M28" s="160"/>
      <c r="N28" s="162"/>
      <c r="O28" s="162"/>
      <c r="P28" s="162"/>
      <c r="Q28" s="162"/>
      <c r="R28" s="162"/>
      <c r="S28" s="160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G28" s="76"/>
      <c r="AJ28" s="62"/>
    </row>
    <row r="29" spans="1:45" s="38" customFormat="1" ht="15" customHeight="1" x14ac:dyDescent="0.15">
      <c r="C29" s="47"/>
      <c r="E29" s="176"/>
      <c r="F29" s="162"/>
      <c r="G29" s="162"/>
      <c r="H29" s="162"/>
      <c r="I29" s="160"/>
      <c r="J29" s="162"/>
      <c r="K29" s="162"/>
      <c r="L29" s="162"/>
      <c r="M29" s="160"/>
      <c r="N29" s="162"/>
      <c r="O29" s="162"/>
      <c r="P29" s="162"/>
      <c r="Q29" s="162"/>
      <c r="R29" s="162"/>
      <c r="S29" s="160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G29" s="76"/>
      <c r="AJ29" s="62"/>
    </row>
    <row r="30" spans="1:45" s="38" customFormat="1" ht="15" customHeight="1" thickBot="1" x14ac:dyDescent="0.2">
      <c r="C30" s="47"/>
      <c r="E30" s="162"/>
      <c r="F30" s="162"/>
      <c r="G30" s="162"/>
      <c r="H30" s="160" t="s">
        <v>165</v>
      </c>
      <c r="I30" s="160"/>
      <c r="J30" s="160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0" t="s">
        <v>58</v>
      </c>
      <c r="V30" s="160"/>
      <c r="W30" s="162"/>
      <c r="X30" s="162"/>
      <c r="Y30" s="162"/>
      <c r="Z30" s="162"/>
      <c r="AA30" s="162"/>
      <c r="AB30" s="160"/>
      <c r="AC30" s="160" t="s">
        <v>147</v>
      </c>
      <c r="AD30" s="160"/>
      <c r="AE30" s="162"/>
      <c r="AG30" s="76"/>
      <c r="AH30" s="130"/>
      <c r="AI30" s="65" t="s">
        <v>102</v>
      </c>
      <c r="AJ30" s="130"/>
      <c r="AM30" s="130"/>
      <c r="AN30" s="65" t="s">
        <v>102</v>
      </c>
      <c r="AO30" s="130"/>
      <c r="AQ30" s="130"/>
      <c r="AR30" s="130" t="s">
        <v>80</v>
      </c>
      <c r="AS30" s="130"/>
    </row>
    <row r="31" spans="1:45" s="38" customFormat="1" ht="15" customHeight="1" thickTop="1" thickBot="1" x14ac:dyDescent="0.2">
      <c r="A31" s="38">
        <v>3</v>
      </c>
      <c r="B31" s="38">
        <v>5</v>
      </c>
      <c r="C31" s="47"/>
      <c r="E31" s="162"/>
      <c r="F31" s="188" t="s">
        <v>53</v>
      </c>
      <c r="G31" s="247">
        <f>+X23</f>
        <v>0</v>
      </c>
      <c r="H31" s="248"/>
      <c r="I31" s="249"/>
      <c r="J31" s="316" t="str">
        <f>+Sheet3!E12</f>
        <v>＋  ４７万円　－　２８万円 〕  ×  １／２　＋ 〔</v>
      </c>
      <c r="K31" s="297"/>
      <c r="L31" s="297"/>
      <c r="M31" s="269" t="str">
        <f>+Sheet3!J25</f>
        <v>－　２８万円 〕  ×  １／２　＋ 〔</v>
      </c>
      <c r="N31" s="270"/>
      <c r="O31" s="270"/>
      <c r="P31" s="270"/>
      <c r="Q31" s="270"/>
      <c r="R31" s="270"/>
      <c r="S31" s="311"/>
      <c r="T31" s="247">
        <f>+AA10</f>
        <v>98000</v>
      </c>
      <c r="U31" s="248"/>
      <c r="V31" s="249"/>
      <c r="W31" s="312" t="str">
        <f>+Sheet3!Q12</f>
        <v>－  ４７万円 〕  ＝</v>
      </c>
      <c r="X31" s="270"/>
      <c r="Y31" s="270"/>
      <c r="Z31" s="270"/>
      <c r="AA31" s="270"/>
      <c r="AB31" s="260">
        <f>IF(AQ31&lt;G31,AQ31,G31)</f>
        <v>-277000</v>
      </c>
      <c r="AC31" s="261"/>
      <c r="AD31" s="262"/>
      <c r="AE31" s="162"/>
      <c r="AG31" s="76"/>
      <c r="AH31" s="276">
        <f>+(G31+Sheet3!B3-Sheet3!B25)/2+(T31-Sheet3!B3)</f>
        <v>-277000</v>
      </c>
      <c r="AI31" s="277"/>
      <c r="AJ31" s="278"/>
      <c r="AM31" s="279" t="e">
        <f>+L75*P75/T75</f>
        <v>#DIV/0!</v>
      </c>
      <c r="AN31" s="280"/>
      <c r="AO31" s="281"/>
      <c r="AQ31" s="313">
        <f>ROUND(AH31,2)</f>
        <v>-277000</v>
      </c>
      <c r="AR31" s="314"/>
      <c r="AS31" s="315"/>
    </row>
    <row r="32" spans="1:45" s="38" customFormat="1" ht="15" customHeight="1" x14ac:dyDescent="0.15">
      <c r="A32" s="38">
        <v>4</v>
      </c>
      <c r="B32" s="38" t="s">
        <v>220</v>
      </c>
      <c r="C32" s="47"/>
      <c r="E32" s="188"/>
      <c r="F32" s="189"/>
      <c r="G32" s="190"/>
      <c r="H32" s="190"/>
      <c r="I32" s="160"/>
      <c r="J32" s="189"/>
      <c r="K32" s="190"/>
      <c r="L32" s="190"/>
      <c r="M32" s="166"/>
      <c r="N32" s="166"/>
      <c r="O32" s="160"/>
      <c r="P32" s="189"/>
      <c r="Q32" s="190"/>
      <c r="R32" s="190"/>
      <c r="S32" s="162"/>
      <c r="T32" s="162"/>
      <c r="U32" s="167"/>
      <c r="V32" s="162"/>
      <c r="W32" s="162"/>
      <c r="X32" s="162"/>
      <c r="Y32" s="162"/>
      <c r="Z32" s="162"/>
      <c r="AA32" s="191" t="str">
        <f>IF(AQ31&lt;G31,"","注）年金額の全額停止")</f>
        <v/>
      </c>
      <c r="AB32" s="162"/>
      <c r="AC32" s="162"/>
      <c r="AD32" s="162"/>
      <c r="AE32" s="162"/>
      <c r="AG32" s="76"/>
      <c r="AH32" s="62"/>
      <c r="AO32" s="38" t="s">
        <v>40</v>
      </c>
    </row>
    <row r="33" spans="3:52" s="38" customFormat="1" ht="15" customHeight="1" x14ac:dyDescent="0.15">
      <c r="C33" s="47"/>
      <c r="E33" s="188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G33" s="76"/>
    </row>
    <row r="34" spans="3:52" s="38" customFormat="1" ht="15" customHeight="1" x14ac:dyDescent="0.15">
      <c r="C34" s="47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G34" s="76"/>
      <c r="AH34" s="38" t="s">
        <v>97</v>
      </c>
    </row>
    <row r="35" spans="3:52" s="38" customFormat="1" ht="15" customHeight="1" x14ac:dyDescent="0.15">
      <c r="C35" s="47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G35" s="76"/>
      <c r="AH35" s="273">
        <f>+Z31</f>
        <v>0</v>
      </c>
      <c r="AI35" s="274"/>
      <c r="AJ35" s="275"/>
      <c r="AK35" s="52" t="s">
        <v>62</v>
      </c>
      <c r="AL35" s="273">
        <f>+S14</f>
        <v>0</v>
      </c>
      <c r="AM35" s="274"/>
      <c r="AN35" s="275"/>
      <c r="AO35" s="52" t="s">
        <v>63</v>
      </c>
      <c r="AP35" s="273">
        <f>+T75</f>
        <v>0</v>
      </c>
      <c r="AQ35" s="274"/>
      <c r="AR35" s="275"/>
      <c r="AS35" s="133" t="s">
        <v>51</v>
      </c>
      <c r="AT35" s="273" t="e">
        <f>+AH35*AL35/AP35</f>
        <v>#DIV/0!</v>
      </c>
      <c r="AU35" s="274"/>
      <c r="AV35" s="275"/>
    </row>
    <row r="36" spans="3:52" s="38" customFormat="1" ht="15" customHeight="1" x14ac:dyDescent="0.15">
      <c r="C36" s="47"/>
      <c r="E36" s="176" t="s">
        <v>195</v>
      </c>
      <c r="F36" s="162"/>
      <c r="G36" s="190"/>
      <c r="H36" s="190"/>
      <c r="I36" s="160"/>
      <c r="J36" s="189"/>
      <c r="K36" s="163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59"/>
      <c r="AB36" s="159"/>
      <c r="AC36" s="159"/>
      <c r="AD36" s="162"/>
      <c r="AE36" s="162"/>
      <c r="AG36" s="76"/>
    </row>
    <row r="37" spans="3:52" s="38" customFormat="1" ht="15" customHeight="1" x14ac:dyDescent="0.15">
      <c r="C37" s="47"/>
      <c r="E37" s="176"/>
      <c r="F37" s="162"/>
      <c r="G37" s="190"/>
      <c r="H37" s="190"/>
      <c r="I37" s="160"/>
      <c r="J37" s="189"/>
      <c r="K37" s="163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59"/>
      <c r="AB37" s="159"/>
      <c r="AC37" s="159"/>
      <c r="AD37" s="162"/>
      <c r="AE37" s="162"/>
      <c r="AG37" s="76"/>
    </row>
    <row r="38" spans="3:52" s="38" customFormat="1" ht="15" customHeight="1" thickBot="1" x14ac:dyDescent="0.2">
      <c r="C38" s="47"/>
      <c r="E38" s="176"/>
      <c r="F38" s="162"/>
      <c r="G38" s="190"/>
      <c r="H38" s="190"/>
      <c r="I38" s="160"/>
      <c r="J38" s="162"/>
      <c r="K38" s="162"/>
      <c r="L38" s="163"/>
      <c r="M38" s="160" t="s">
        <v>147</v>
      </c>
      <c r="N38" s="163"/>
      <c r="O38" s="162"/>
      <c r="P38" s="162"/>
      <c r="Q38" s="165"/>
      <c r="R38" s="160" t="s">
        <v>192</v>
      </c>
      <c r="S38" s="166"/>
      <c r="T38" s="160"/>
      <c r="U38" s="162"/>
      <c r="V38" s="189"/>
      <c r="W38" s="160" t="s">
        <v>165</v>
      </c>
      <c r="X38" s="190"/>
      <c r="Y38" s="162"/>
      <c r="Z38" s="162"/>
      <c r="AA38" s="160"/>
      <c r="AB38" s="160" t="s">
        <v>152</v>
      </c>
      <c r="AC38" s="160"/>
      <c r="AD38" s="162"/>
      <c r="AE38" s="162"/>
      <c r="AG38" s="76"/>
      <c r="AH38" s="130"/>
      <c r="AI38" s="65" t="s">
        <v>103</v>
      </c>
      <c r="AJ38" s="130"/>
      <c r="AK38" s="30"/>
      <c r="AL38" s="30"/>
      <c r="AM38" s="65" t="s">
        <v>160</v>
      </c>
      <c r="AN38" s="30"/>
      <c r="AO38" s="30"/>
      <c r="AP38" s="130"/>
      <c r="AQ38" s="111" t="s">
        <v>139</v>
      </c>
      <c r="AR38" s="54"/>
      <c r="AS38" s="55"/>
      <c r="AT38" s="54"/>
      <c r="AU38" s="111" t="s">
        <v>108</v>
      </c>
      <c r="AV38" s="130"/>
    </row>
    <row r="39" spans="3:52" ht="15" customHeight="1" thickTop="1" thickBot="1" x14ac:dyDescent="0.2">
      <c r="C39" s="48"/>
      <c r="E39" s="159"/>
      <c r="F39" s="162" t="s">
        <v>188</v>
      </c>
      <c r="G39" s="159"/>
      <c r="H39" s="190"/>
      <c r="I39" s="160"/>
      <c r="J39" s="159"/>
      <c r="K39" s="159"/>
      <c r="L39" s="247">
        <f>+AB31</f>
        <v>-277000</v>
      </c>
      <c r="M39" s="248"/>
      <c r="N39" s="249"/>
      <c r="O39" s="271" t="s">
        <v>62</v>
      </c>
      <c r="P39" s="311"/>
      <c r="Q39" s="247">
        <f>+P23</f>
        <v>0</v>
      </c>
      <c r="R39" s="248"/>
      <c r="S39" s="249"/>
      <c r="T39" s="271" t="s">
        <v>63</v>
      </c>
      <c r="U39" s="311"/>
      <c r="V39" s="247">
        <f>+X23</f>
        <v>0</v>
      </c>
      <c r="W39" s="248"/>
      <c r="X39" s="249"/>
      <c r="Y39" s="271" t="s">
        <v>51</v>
      </c>
      <c r="Z39" s="297"/>
      <c r="AA39" s="260" t="e">
        <f>ROUND(AH39,2)</f>
        <v>#DIV/0!</v>
      </c>
      <c r="AB39" s="261"/>
      <c r="AC39" s="262"/>
      <c r="AD39" s="159"/>
      <c r="AE39" s="159"/>
      <c r="AG39" s="75"/>
      <c r="AH39" s="266" t="e">
        <f>+L39*Q39/V39</f>
        <v>#DIV/0!</v>
      </c>
      <c r="AI39" s="267"/>
      <c r="AJ39" s="268"/>
      <c r="AL39" s="288" t="e">
        <f>ROUNDDOWN(Q39/V39,6)</f>
        <v>#DIV/0!</v>
      </c>
      <c r="AM39" s="289"/>
      <c r="AN39" s="290"/>
      <c r="AP39" s="285" t="e">
        <f>+S17-AH39</f>
        <v>#DIV/0!</v>
      </c>
      <c r="AQ39" s="286"/>
      <c r="AR39" s="287"/>
      <c r="AT39" s="285" t="e">
        <f>+AP39+AH57/12</f>
        <v>#DIV/0!</v>
      </c>
      <c r="AU39" s="286"/>
      <c r="AV39" s="287"/>
    </row>
    <row r="40" spans="3:52" ht="15" customHeight="1" thickTop="1" thickBot="1" x14ac:dyDescent="0.2">
      <c r="C40" s="48"/>
      <c r="E40" s="159"/>
      <c r="F40" s="18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67"/>
      <c r="Z40" s="191" t="str">
        <f>IF(L39&lt;S17,"","注）３号厚年の全額停止")</f>
        <v/>
      </c>
      <c r="AA40" s="159"/>
      <c r="AB40" s="159"/>
      <c r="AC40" s="159"/>
      <c r="AD40" s="159"/>
      <c r="AE40" s="159"/>
      <c r="AG40" s="75"/>
      <c r="AL40" s="266" t="e">
        <f>+L39*AL39</f>
        <v>#DIV/0!</v>
      </c>
      <c r="AM40" s="267"/>
      <c r="AN40" s="268"/>
    </row>
    <row r="41" spans="3:52" ht="15" customHeight="1" thickTop="1" thickBot="1" x14ac:dyDescent="0.2">
      <c r="C41" s="48"/>
      <c r="E41" s="159"/>
      <c r="F41" s="159"/>
      <c r="G41" s="159"/>
      <c r="H41" s="159"/>
      <c r="I41" s="173"/>
      <c r="J41" s="159"/>
      <c r="K41" s="159"/>
      <c r="L41" s="159"/>
      <c r="M41" s="173"/>
      <c r="N41" s="159"/>
      <c r="O41" s="159"/>
      <c r="P41" s="159"/>
      <c r="Q41" s="159"/>
      <c r="R41" s="159"/>
      <c r="S41" s="173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G41" s="75"/>
      <c r="AJ41" s="34"/>
      <c r="AL41" s="266" t="e">
        <f>+AL40*12</f>
        <v>#DIV/0!</v>
      </c>
      <c r="AM41" s="267"/>
      <c r="AN41" s="268"/>
    </row>
    <row r="42" spans="3:52" ht="15" customHeight="1" thickTop="1" x14ac:dyDescent="0.15">
      <c r="C42" s="48"/>
      <c r="E42" s="159"/>
      <c r="F42" s="159"/>
      <c r="G42" s="159"/>
      <c r="H42" s="159"/>
      <c r="I42" s="159"/>
      <c r="J42" s="159"/>
      <c r="K42" s="159"/>
      <c r="L42" s="159"/>
      <c r="M42" s="173"/>
      <c r="N42" s="159"/>
      <c r="O42" s="159"/>
      <c r="P42" s="159"/>
      <c r="Q42" s="159"/>
      <c r="R42" s="159"/>
      <c r="S42" s="173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G42" s="75"/>
      <c r="AJ42" s="34"/>
    </row>
    <row r="43" spans="3:52" ht="15" customHeight="1" x14ac:dyDescent="0.15">
      <c r="C43" s="48"/>
      <c r="E43" s="159"/>
      <c r="F43" s="18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G43" s="75"/>
      <c r="AJ43" s="34"/>
    </row>
    <row r="44" spans="3:52" ht="15" customHeight="1" x14ac:dyDescent="0.15">
      <c r="C44" s="48"/>
      <c r="E44" s="176" t="s">
        <v>161</v>
      </c>
      <c r="F44" s="162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G44" s="75"/>
      <c r="AJ44" s="34"/>
    </row>
    <row r="45" spans="3:52" ht="15" customHeight="1" x14ac:dyDescent="0.15">
      <c r="C45" s="48"/>
      <c r="E45" s="192"/>
      <c r="F45" s="162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G45" s="75"/>
      <c r="AJ45" s="34"/>
    </row>
    <row r="46" spans="3:52" ht="15" customHeight="1" thickBot="1" x14ac:dyDescent="0.2">
      <c r="C46" s="48"/>
      <c r="E46" s="159"/>
      <c r="F46" s="162" t="s">
        <v>40</v>
      </c>
      <c r="G46" s="159"/>
      <c r="H46" s="159"/>
      <c r="I46" s="159"/>
      <c r="J46" s="159"/>
      <c r="K46" s="159"/>
      <c r="L46" s="163"/>
      <c r="M46" s="160" t="s">
        <v>75</v>
      </c>
      <c r="N46" s="163"/>
      <c r="O46" s="159"/>
      <c r="P46" s="165"/>
      <c r="Q46" s="159"/>
      <c r="R46" s="159"/>
      <c r="S46" s="173"/>
      <c r="T46" s="159"/>
      <c r="U46" s="159"/>
      <c r="V46" s="165"/>
      <c r="W46" s="160" t="s">
        <v>74</v>
      </c>
      <c r="X46" s="166"/>
      <c r="Y46" s="159"/>
      <c r="Z46" s="159"/>
      <c r="AA46" s="159"/>
      <c r="AB46" s="159"/>
      <c r="AC46" s="159"/>
      <c r="AD46" s="159"/>
      <c r="AE46" s="159"/>
      <c r="AG46" s="75"/>
      <c r="AH46" s="131"/>
      <c r="AI46" s="65" t="s">
        <v>104</v>
      </c>
      <c r="AJ46" s="132"/>
      <c r="AL46" s="38"/>
      <c r="AM46" s="136" t="s">
        <v>203</v>
      </c>
      <c r="AN46" s="38"/>
      <c r="AP46" s="130"/>
      <c r="AQ46" s="111" t="s">
        <v>139</v>
      </c>
      <c r="AR46" s="54"/>
      <c r="AS46" s="55"/>
      <c r="AT46" s="54"/>
      <c r="AU46" s="111" t="s">
        <v>108</v>
      </c>
      <c r="AV46" s="130"/>
      <c r="AX46" s="38"/>
      <c r="AY46" s="136" t="s">
        <v>203</v>
      </c>
      <c r="AZ46" s="38"/>
    </row>
    <row r="47" spans="3:52" ht="15" customHeight="1" thickTop="1" thickBot="1" x14ac:dyDescent="0.2">
      <c r="C47" s="48"/>
      <c r="E47" s="159"/>
      <c r="F47" s="162" t="s">
        <v>188</v>
      </c>
      <c r="G47" s="159"/>
      <c r="H47" s="159"/>
      <c r="I47" s="159"/>
      <c r="J47" s="159"/>
      <c r="K47" s="159"/>
      <c r="L47" s="247" t="e">
        <f>+AA39</f>
        <v>#DIV/0!</v>
      </c>
      <c r="M47" s="248"/>
      <c r="N47" s="249"/>
      <c r="O47" s="294" t="s">
        <v>183</v>
      </c>
      <c r="P47" s="295"/>
      <c r="Q47" s="296"/>
      <c r="R47" s="297"/>
      <c r="S47" s="297"/>
      <c r="T47" s="297"/>
      <c r="U47" s="298"/>
      <c r="V47" s="260">
        <f>IF(P39=Z39,L17,ROUNDDOWN(L47*12,0))</f>
        <v>0</v>
      </c>
      <c r="W47" s="261"/>
      <c r="X47" s="262"/>
      <c r="Y47" s="159"/>
      <c r="Z47" s="159"/>
      <c r="AA47" s="159"/>
      <c r="AB47" s="159"/>
      <c r="AC47" s="159"/>
      <c r="AD47" s="159"/>
      <c r="AE47" s="159"/>
      <c r="AG47" s="75"/>
      <c r="AH47" s="276" t="e">
        <f>+L47*12</f>
        <v>#DIV/0!</v>
      </c>
      <c r="AI47" s="277"/>
      <c r="AJ47" s="278"/>
      <c r="AL47" s="291" t="e">
        <f>+算定シート1!D57</f>
        <v>#DIV/0!</v>
      </c>
      <c r="AM47" s="292"/>
      <c r="AN47" s="293"/>
      <c r="AP47" s="285">
        <f>+L17-AH57-V47</f>
        <v>0</v>
      </c>
      <c r="AQ47" s="286"/>
      <c r="AR47" s="287"/>
      <c r="AT47" s="285">
        <f>+AP47+AH57</f>
        <v>0</v>
      </c>
      <c r="AU47" s="286"/>
      <c r="AV47" s="287"/>
      <c r="AX47" s="291" t="e">
        <f>+算定シート1!D58</f>
        <v>#DIV/0!</v>
      </c>
      <c r="AY47" s="292"/>
      <c r="AZ47" s="293"/>
    </row>
    <row r="48" spans="3:52" ht="15" customHeight="1" x14ac:dyDescent="0.15">
      <c r="C48" s="48"/>
      <c r="E48" s="159"/>
      <c r="F48" s="159"/>
      <c r="G48" s="159"/>
      <c r="H48" s="159"/>
      <c r="I48" s="159"/>
      <c r="J48" s="159"/>
      <c r="K48" s="159"/>
      <c r="L48" s="159"/>
      <c r="M48" s="186"/>
      <c r="N48" s="187"/>
      <c r="O48" s="187"/>
      <c r="P48" s="193"/>
      <c r="Q48" s="182"/>
      <c r="R48" s="159"/>
      <c r="S48" s="173"/>
      <c r="T48" s="159"/>
      <c r="U48" s="187"/>
      <c r="V48" s="182"/>
      <c r="W48" s="167" t="str">
        <f>IF(V47=L17,AI50,AI49)</f>
        <v>（年金額の全額停止）</v>
      </c>
      <c r="X48" s="159"/>
      <c r="Y48" s="159"/>
      <c r="Z48" s="159"/>
      <c r="AA48" s="159"/>
      <c r="AB48" s="159"/>
      <c r="AC48" s="159"/>
      <c r="AD48" s="159"/>
      <c r="AE48" s="159"/>
      <c r="AG48" s="75"/>
      <c r="AJ48" s="34"/>
    </row>
    <row r="49" spans="3:44" ht="15" customHeight="1" x14ac:dyDescent="0.15">
      <c r="C49" s="48"/>
      <c r="E49" s="159"/>
      <c r="F49" s="159"/>
      <c r="G49" s="159"/>
      <c r="H49" s="159"/>
      <c r="I49" s="159"/>
      <c r="J49" s="159"/>
      <c r="K49" s="159"/>
      <c r="L49" s="159"/>
      <c r="M49" s="186"/>
      <c r="N49" s="187"/>
      <c r="O49" s="187"/>
      <c r="P49" s="193"/>
      <c r="Q49" s="182"/>
      <c r="R49" s="182"/>
      <c r="S49" s="167"/>
      <c r="T49" s="159"/>
      <c r="U49" s="187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G49" s="75"/>
      <c r="AI49" s="105" t="s">
        <v>76</v>
      </c>
      <c r="AJ49" s="34"/>
    </row>
    <row r="50" spans="3:44" ht="15" customHeight="1" thickBot="1" x14ac:dyDescent="0.2">
      <c r="C50" s="48"/>
      <c r="E50" s="159"/>
      <c r="F50" s="162" t="s">
        <v>40</v>
      </c>
      <c r="G50" s="159"/>
      <c r="H50" s="159"/>
      <c r="I50" s="159"/>
      <c r="J50" s="159"/>
      <c r="K50" s="159"/>
      <c r="L50" s="163"/>
      <c r="M50" s="164" t="s">
        <v>153</v>
      </c>
      <c r="N50" s="163"/>
      <c r="O50" s="159"/>
      <c r="P50" s="159"/>
      <c r="Q50" s="162"/>
      <c r="R50" s="160" t="s">
        <v>74</v>
      </c>
      <c r="S50" s="160"/>
      <c r="T50" s="159"/>
      <c r="U50" s="159"/>
      <c r="V50" s="160"/>
      <c r="W50" s="160" t="s">
        <v>151</v>
      </c>
      <c r="X50" s="160"/>
      <c r="Y50" s="159"/>
      <c r="Z50" s="160"/>
      <c r="AA50" s="159"/>
      <c r="AB50" s="159"/>
      <c r="AC50" s="159"/>
      <c r="AD50" s="159"/>
      <c r="AE50" s="159"/>
      <c r="AG50" s="75"/>
      <c r="AI50" s="105" t="s">
        <v>182</v>
      </c>
      <c r="AJ50" s="34"/>
    </row>
    <row r="51" spans="3:44" ht="15" customHeight="1" thickTop="1" thickBot="1" x14ac:dyDescent="0.2">
      <c r="C51" s="48"/>
      <c r="E51" s="159"/>
      <c r="F51" s="162" t="s">
        <v>189</v>
      </c>
      <c r="G51" s="159"/>
      <c r="H51" s="159"/>
      <c r="I51" s="159"/>
      <c r="J51" s="159"/>
      <c r="K51" s="159"/>
      <c r="L51" s="247">
        <f>+L17</f>
        <v>0</v>
      </c>
      <c r="M51" s="248"/>
      <c r="N51" s="249"/>
      <c r="O51" s="299" t="s">
        <v>43</v>
      </c>
      <c r="P51" s="300"/>
      <c r="Q51" s="247">
        <f>+V47</f>
        <v>0</v>
      </c>
      <c r="R51" s="250"/>
      <c r="S51" s="251"/>
      <c r="T51" s="299" t="s">
        <v>51</v>
      </c>
      <c r="U51" s="298"/>
      <c r="V51" s="260">
        <f>+L51-Q51</f>
        <v>0</v>
      </c>
      <c r="W51" s="261"/>
      <c r="X51" s="262"/>
      <c r="Y51" s="159"/>
      <c r="Z51" s="159"/>
      <c r="AA51" s="159"/>
      <c r="AB51" s="159"/>
      <c r="AC51" s="159"/>
      <c r="AD51" s="159"/>
      <c r="AE51" s="159"/>
      <c r="AG51" s="75"/>
      <c r="AJ51" s="34"/>
    </row>
    <row r="52" spans="3:44" ht="15" customHeight="1" x14ac:dyDescent="0.15">
      <c r="C52" s="48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91" t="str">
        <f>IF(V51&gt;0,"","注）年金額の全額停止")</f>
        <v>注）年金額の全額停止</v>
      </c>
      <c r="W52" s="159"/>
      <c r="X52" s="159"/>
      <c r="Y52" s="159"/>
      <c r="Z52" s="159"/>
      <c r="AA52" s="159"/>
      <c r="AB52" s="159"/>
      <c r="AC52" s="159"/>
      <c r="AD52" s="159"/>
      <c r="AE52" s="159"/>
      <c r="AG52" s="75"/>
      <c r="AJ52" s="34"/>
    </row>
    <row r="53" spans="3:44" ht="15" customHeight="1" x14ac:dyDescent="0.15">
      <c r="C53" s="48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G53" s="75"/>
      <c r="AJ53" s="34"/>
    </row>
    <row r="54" spans="3:44" ht="15" customHeight="1" x14ac:dyDescent="0.15">
      <c r="C54" s="48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G54" s="75"/>
      <c r="AJ54" s="34"/>
      <c r="AK54" s="301" t="s">
        <v>159</v>
      </c>
      <c r="AL54" s="302"/>
      <c r="AM54" s="302"/>
      <c r="AN54" s="302"/>
      <c r="AO54" s="302"/>
      <c r="AP54" s="302"/>
      <c r="AQ54" s="302"/>
      <c r="AR54" s="302"/>
    </row>
    <row r="55" spans="3:44" ht="15" customHeight="1" x14ac:dyDescent="0.15">
      <c r="C55" s="48"/>
      <c r="E55" s="194" t="s">
        <v>59</v>
      </c>
      <c r="F55" s="159"/>
      <c r="G55" s="159"/>
      <c r="H55" s="159"/>
      <c r="I55" s="159"/>
      <c r="J55" s="159"/>
      <c r="K55" s="159"/>
      <c r="L55" s="159"/>
      <c r="M55" s="159"/>
      <c r="N55" s="173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G55" s="75"/>
      <c r="AJ55" s="34"/>
      <c r="AK55" s="302"/>
      <c r="AL55" s="302"/>
      <c r="AM55" s="302"/>
      <c r="AN55" s="302"/>
      <c r="AO55" s="302"/>
      <c r="AP55" s="302"/>
      <c r="AQ55" s="302"/>
      <c r="AR55" s="302"/>
    </row>
    <row r="56" spans="3:44" ht="15" customHeight="1" thickBot="1" x14ac:dyDescent="0.2">
      <c r="C56" s="48"/>
      <c r="E56" s="159"/>
      <c r="F56" s="303" t="s">
        <v>157</v>
      </c>
      <c r="G56" s="246"/>
      <c r="H56" s="246"/>
      <c r="I56" s="297"/>
      <c r="J56" s="159"/>
      <c r="K56" s="159"/>
      <c r="L56" s="160"/>
      <c r="M56" s="160" t="s">
        <v>194</v>
      </c>
      <c r="N56" s="160"/>
      <c r="O56" s="159"/>
      <c r="P56" s="159"/>
      <c r="Q56" s="179"/>
      <c r="R56" s="160" t="s">
        <v>158</v>
      </c>
      <c r="S56" s="164"/>
      <c r="T56" s="159"/>
      <c r="U56" s="159"/>
      <c r="V56" s="160"/>
      <c r="W56" s="160" t="s">
        <v>156</v>
      </c>
      <c r="X56" s="160"/>
      <c r="Y56" s="159"/>
      <c r="Z56" s="159"/>
      <c r="AA56" s="159"/>
      <c r="AB56" s="159"/>
      <c r="AC56" s="159"/>
      <c r="AD56" s="159"/>
      <c r="AE56" s="159"/>
      <c r="AG56" s="75"/>
      <c r="AH56" s="119"/>
      <c r="AI56" s="37" t="s">
        <v>69</v>
      </c>
      <c r="AJ56" s="37"/>
      <c r="AK56" s="64"/>
      <c r="AL56" s="119"/>
      <c r="AM56" s="37" t="s">
        <v>155</v>
      </c>
      <c r="AN56" s="37"/>
    </row>
    <row r="57" spans="3:44" ht="15" customHeight="1" thickTop="1" thickBot="1" x14ac:dyDescent="0.2">
      <c r="C57" s="48"/>
      <c r="E57" s="159"/>
      <c r="F57" s="246"/>
      <c r="G57" s="246"/>
      <c r="H57" s="246"/>
      <c r="I57" s="297"/>
      <c r="J57" s="159"/>
      <c r="K57" s="159"/>
      <c r="L57" s="247">
        <f>+V51</f>
        <v>0</v>
      </c>
      <c r="M57" s="248"/>
      <c r="N57" s="249"/>
      <c r="O57" s="304" t="s">
        <v>50</v>
      </c>
      <c r="P57" s="300"/>
      <c r="Q57" s="247">
        <f>+AL57</f>
        <v>0</v>
      </c>
      <c r="R57" s="250"/>
      <c r="S57" s="251"/>
      <c r="T57" s="299" t="s">
        <v>51</v>
      </c>
      <c r="U57" s="298"/>
      <c r="V57" s="260">
        <f>+L57+Q57</f>
        <v>0</v>
      </c>
      <c r="W57" s="261"/>
      <c r="X57" s="262"/>
      <c r="Y57" s="159"/>
      <c r="Z57" s="159"/>
      <c r="AA57" s="159"/>
      <c r="AB57" s="159"/>
      <c r="AC57" s="159"/>
      <c r="AD57" s="159"/>
      <c r="AE57" s="159"/>
      <c r="AG57" s="75"/>
      <c r="AH57" s="305">
        <f>IF(入力シート!C19=1,0,入力シート!E9)</f>
        <v>0</v>
      </c>
      <c r="AI57" s="306"/>
      <c r="AJ57" s="307"/>
      <c r="AL57" s="305">
        <f>ROUNDDOWN(AH57,0)</f>
        <v>0</v>
      </c>
      <c r="AM57" s="306"/>
      <c r="AN57" s="307"/>
    </row>
    <row r="58" spans="3:44" ht="15" customHeight="1" x14ac:dyDescent="0.15">
      <c r="C58" s="48"/>
      <c r="E58" s="159"/>
      <c r="F58" s="159"/>
      <c r="G58" s="159"/>
      <c r="H58" s="159"/>
      <c r="I58" s="173"/>
      <c r="J58" s="159"/>
      <c r="K58" s="159"/>
      <c r="L58" s="159"/>
      <c r="M58" s="186"/>
      <c r="N58" s="187"/>
      <c r="O58" s="187"/>
      <c r="P58" s="193"/>
      <c r="Q58" s="182"/>
      <c r="R58" s="182"/>
      <c r="S58" s="167"/>
      <c r="T58" s="159"/>
      <c r="U58" s="187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G58" s="75"/>
      <c r="AJ58" s="34"/>
    </row>
    <row r="59" spans="3:44" ht="15" customHeight="1" x14ac:dyDescent="0.15">
      <c r="C59" s="48"/>
      <c r="E59" s="159"/>
      <c r="F59" s="159"/>
      <c r="G59" s="159"/>
      <c r="H59" s="159"/>
      <c r="I59" s="173"/>
      <c r="J59" s="159"/>
      <c r="K59" s="159"/>
      <c r="L59" s="186"/>
      <c r="M59" s="187"/>
      <c r="N59" s="187"/>
      <c r="O59" s="193"/>
      <c r="P59" s="182"/>
      <c r="Q59" s="182"/>
      <c r="R59" s="167"/>
      <c r="S59" s="159"/>
      <c r="T59" s="187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G59" s="75"/>
      <c r="AJ59" s="34"/>
    </row>
    <row r="60" spans="3:44" ht="15" customHeight="1" x14ac:dyDescent="0.15">
      <c r="C60" s="48"/>
      <c r="E60" s="159"/>
      <c r="F60" s="159"/>
      <c r="G60" s="159"/>
      <c r="H60" s="159"/>
      <c r="I60" s="173"/>
      <c r="J60" s="159"/>
      <c r="K60" s="159"/>
      <c r="L60" s="186"/>
      <c r="M60" s="187"/>
      <c r="N60" s="187"/>
      <c r="O60" s="193"/>
      <c r="P60" s="182"/>
      <c r="Q60" s="182"/>
      <c r="R60" s="167"/>
      <c r="S60" s="159"/>
      <c r="T60" s="187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G60" s="75"/>
      <c r="AJ60" s="34"/>
    </row>
    <row r="61" spans="3:44" ht="15" customHeight="1" x14ac:dyDescent="0.15">
      <c r="C61" s="48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G61" s="75"/>
      <c r="AJ61" s="34"/>
    </row>
    <row r="62" spans="3:44" ht="15" customHeight="1" x14ac:dyDescent="0.15">
      <c r="C62" s="48"/>
      <c r="E62" s="159"/>
      <c r="F62" s="195" t="s">
        <v>71</v>
      </c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G62" s="75"/>
    </row>
    <row r="63" spans="3:44" ht="15" customHeight="1" x14ac:dyDescent="0.15">
      <c r="C63" s="48"/>
      <c r="AG63" s="75"/>
    </row>
    <row r="64" spans="3:44" ht="13.5" hidden="1" customHeight="1" x14ac:dyDescent="0.15">
      <c r="AJ64" s="34"/>
    </row>
    <row r="65" spans="6:36" ht="13.5" hidden="1" customHeight="1" thickBot="1" x14ac:dyDescent="0.2">
      <c r="G65" s="118" t="s">
        <v>144</v>
      </c>
      <c r="I65" s="35"/>
      <c r="J65" s="115"/>
      <c r="K65" s="116" t="s">
        <v>141</v>
      </c>
      <c r="L65" s="117"/>
      <c r="N65" s="115"/>
      <c r="O65" s="116" t="s">
        <v>142</v>
      </c>
      <c r="P65" s="117"/>
      <c r="Q65" s="114" t="s">
        <v>40</v>
      </c>
      <c r="R65" s="115"/>
      <c r="S65" s="116" t="s">
        <v>143</v>
      </c>
      <c r="T65" s="117"/>
      <c r="AI65" s="38" t="s">
        <v>68</v>
      </c>
      <c r="AJ65" s="34"/>
    </row>
    <row r="66" spans="6:36" ht="13.5" hidden="1" customHeight="1" thickBot="1" x14ac:dyDescent="0.2">
      <c r="I66" s="114" t="s">
        <v>145</v>
      </c>
      <c r="J66" s="308" t="e">
        <f>+S17-L47</f>
        <v>#DIV/0!</v>
      </c>
      <c r="K66" s="309"/>
      <c r="L66" s="310"/>
      <c r="N66" s="308" t="e">
        <f>+S17-L47+AH57/12</f>
        <v>#DIV/0!</v>
      </c>
      <c r="O66" s="309"/>
      <c r="P66" s="310"/>
      <c r="Q66" s="112"/>
      <c r="R66" s="308">
        <f>+L17-V47</f>
        <v>0</v>
      </c>
      <c r="S66" s="309"/>
      <c r="T66" s="310"/>
      <c r="AJ66" s="34"/>
    </row>
    <row r="67" spans="6:36" hidden="1" x14ac:dyDescent="0.15">
      <c r="I67" s="35"/>
      <c r="J67" s="34"/>
      <c r="K67" s="34"/>
      <c r="L67" s="113"/>
      <c r="M67" s="35"/>
      <c r="N67" s="113"/>
      <c r="O67" s="34"/>
      <c r="P67" s="34"/>
      <c r="Q67" s="34"/>
      <c r="AJ67" s="34"/>
    </row>
    <row r="68" spans="6:36" hidden="1" x14ac:dyDescent="0.15">
      <c r="I68" s="35"/>
      <c r="J68" s="34"/>
      <c r="K68" s="34"/>
      <c r="L68" s="100"/>
      <c r="M68" s="101"/>
      <c r="N68" s="101"/>
      <c r="O68" s="34"/>
      <c r="P68" s="34"/>
      <c r="Q68" s="34"/>
    </row>
    <row r="69" spans="6:36" hidden="1" x14ac:dyDescent="0.15">
      <c r="I69" s="35"/>
      <c r="J69" s="34"/>
      <c r="K69" s="34"/>
      <c r="M69" s="30"/>
      <c r="S69" s="30"/>
    </row>
    <row r="70" spans="6:36" hidden="1" x14ac:dyDescent="0.15">
      <c r="I70" s="30"/>
      <c r="M70" s="30"/>
      <c r="S70" s="30"/>
    </row>
    <row r="71" spans="6:36" hidden="1" x14ac:dyDescent="0.15">
      <c r="I71" s="30"/>
      <c r="M71" s="30"/>
      <c r="S71" s="30"/>
    </row>
    <row r="72" spans="6:36" hidden="1" x14ac:dyDescent="0.15">
      <c r="I72" s="30"/>
      <c r="M72" s="30"/>
      <c r="S72" s="30"/>
    </row>
    <row r="73" spans="6:36" hidden="1" x14ac:dyDescent="0.15"/>
    <row r="74" spans="6:36" hidden="1" x14ac:dyDescent="0.15">
      <c r="F74" s="38" t="s">
        <v>61</v>
      </c>
      <c r="G74" s="46"/>
      <c r="H74" s="46"/>
      <c r="I74" s="130"/>
      <c r="J74" s="45"/>
      <c r="K74" s="46"/>
      <c r="L74" s="130"/>
      <c r="M74" s="130" t="s">
        <v>41</v>
      </c>
      <c r="N74" s="130"/>
      <c r="O74" s="131"/>
      <c r="P74" s="131"/>
      <c r="Q74" s="130" t="s">
        <v>77</v>
      </c>
      <c r="R74" s="132"/>
      <c r="S74" s="130"/>
      <c r="T74" s="45"/>
      <c r="U74" s="130" t="s">
        <v>70</v>
      </c>
      <c r="V74" s="46"/>
      <c r="W74" s="130"/>
      <c r="X74" s="130"/>
      <c r="Y74" s="130" t="s">
        <v>79</v>
      </c>
      <c r="Z74" s="130"/>
      <c r="AA74" s="38"/>
      <c r="AB74" s="38"/>
    </row>
    <row r="75" spans="6:36" hidden="1" x14ac:dyDescent="0.15">
      <c r="F75" s="45"/>
      <c r="G75" s="38"/>
      <c r="H75" s="46"/>
      <c r="I75" s="130"/>
      <c r="J75" s="38"/>
      <c r="K75" s="40" t="s">
        <v>78</v>
      </c>
      <c r="L75" s="273">
        <f>+Z31</f>
        <v>0</v>
      </c>
      <c r="M75" s="274"/>
      <c r="N75" s="275"/>
      <c r="O75" s="52" t="s">
        <v>62</v>
      </c>
      <c r="P75" s="273">
        <f>+S17</f>
        <v>0</v>
      </c>
      <c r="Q75" s="274"/>
      <c r="R75" s="275"/>
      <c r="S75" s="52" t="s">
        <v>63</v>
      </c>
      <c r="T75" s="273">
        <f>+K33</f>
        <v>0</v>
      </c>
      <c r="U75" s="274"/>
      <c r="V75" s="275"/>
      <c r="W75" s="133" t="s">
        <v>51</v>
      </c>
      <c r="X75" s="273" t="e">
        <f>ROUND(AM31,2)</f>
        <v>#DIV/0!</v>
      </c>
      <c r="Y75" s="274"/>
      <c r="Z75" s="275"/>
      <c r="AA75" s="38"/>
      <c r="AB75" s="38"/>
    </row>
    <row r="76" spans="6:36" hidden="1" x14ac:dyDescent="0.15">
      <c r="F76" s="45"/>
      <c r="G76" s="38"/>
      <c r="H76" s="46"/>
      <c r="I76" s="130"/>
      <c r="J76" s="45"/>
      <c r="K76" s="46"/>
      <c r="L76" s="45"/>
      <c r="M76" s="46"/>
      <c r="N76" s="46"/>
      <c r="O76" s="38"/>
      <c r="P76" s="45"/>
      <c r="Q76" s="46"/>
      <c r="R76" s="46"/>
      <c r="S76" s="38"/>
      <c r="T76" s="45"/>
      <c r="U76" s="46"/>
      <c r="V76" s="46"/>
      <c r="W76" s="130"/>
      <c r="X76" s="45"/>
      <c r="Y76" s="105"/>
      <c r="Z76" s="46"/>
      <c r="AA76" s="38"/>
      <c r="AB76" s="38"/>
    </row>
    <row r="77" spans="6:36" hidden="1" x14ac:dyDescent="0.15"/>
    <row r="78" spans="6:36" hidden="1" x14ac:dyDescent="0.15"/>
    <row r="79" spans="6:36" hidden="1" x14ac:dyDescent="0.15"/>
    <row r="80" spans="6:36" hidden="1" x14ac:dyDescent="0.15"/>
  </sheetData>
  <sheetProtection selectLockedCells="1"/>
  <mergeCells count="83">
    <mergeCell ref="AH2:AP5"/>
    <mergeCell ref="F4:AD5"/>
    <mergeCell ref="H10:J10"/>
    <mergeCell ref="L10:N10"/>
    <mergeCell ref="P10:R10"/>
    <mergeCell ref="T10:V10"/>
    <mergeCell ref="W10:Y10"/>
    <mergeCell ref="AA10:AC10"/>
    <mergeCell ref="AH10:AJ10"/>
    <mergeCell ref="AL10:AN10"/>
    <mergeCell ref="L17:N17"/>
    <mergeCell ref="O17:R17"/>
    <mergeCell ref="S17:U17"/>
    <mergeCell ref="AH17:AJ17"/>
    <mergeCell ref="AL17:AN17"/>
    <mergeCell ref="L14:N14"/>
    <mergeCell ref="O14:R14"/>
    <mergeCell ref="S14:U14"/>
    <mergeCell ref="AH14:AJ14"/>
    <mergeCell ref="AL14:AN14"/>
    <mergeCell ref="L20:N20"/>
    <mergeCell ref="O20:R20"/>
    <mergeCell ref="S20:U20"/>
    <mergeCell ref="AH20:AJ20"/>
    <mergeCell ref="L23:N23"/>
    <mergeCell ref="P23:R23"/>
    <mergeCell ref="T23:V23"/>
    <mergeCell ref="X23:Z23"/>
    <mergeCell ref="AT35:AV35"/>
    <mergeCell ref="G31:I31"/>
    <mergeCell ref="T31:V31"/>
    <mergeCell ref="W31:AA31"/>
    <mergeCell ref="AB31:AD31"/>
    <mergeCell ref="AH31:AJ31"/>
    <mergeCell ref="AM31:AO31"/>
    <mergeCell ref="AQ31:AS31"/>
    <mergeCell ref="AH35:AJ35"/>
    <mergeCell ref="AL35:AN35"/>
    <mergeCell ref="AP35:AR35"/>
    <mergeCell ref="J31:L31"/>
    <mergeCell ref="M31:S31"/>
    <mergeCell ref="AP39:AR39"/>
    <mergeCell ref="AT39:AV39"/>
    <mergeCell ref="L47:N47"/>
    <mergeCell ref="V47:X47"/>
    <mergeCell ref="AH47:AJ47"/>
    <mergeCell ref="AL47:AN47"/>
    <mergeCell ref="AP47:AR47"/>
    <mergeCell ref="L39:N39"/>
    <mergeCell ref="O39:P39"/>
    <mergeCell ref="Q39:S39"/>
    <mergeCell ref="T39:U39"/>
    <mergeCell ref="V39:X39"/>
    <mergeCell ref="Y39:Z39"/>
    <mergeCell ref="AT47:AV47"/>
    <mergeCell ref="AX47:AZ47"/>
    <mergeCell ref="L51:N51"/>
    <mergeCell ref="O51:P51"/>
    <mergeCell ref="Q51:S51"/>
    <mergeCell ref="T51:U51"/>
    <mergeCell ref="V51:X51"/>
    <mergeCell ref="O47:U47"/>
    <mergeCell ref="F56:I57"/>
    <mergeCell ref="L57:N57"/>
    <mergeCell ref="O57:P57"/>
    <mergeCell ref="Q57:S57"/>
    <mergeCell ref="T57:U57"/>
    <mergeCell ref="X75:Z75"/>
    <mergeCell ref="AL39:AN39"/>
    <mergeCell ref="AL40:AN40"/>
    <mergeCell ref="AL41:AN41"/>
    <mergeCell ref="J66:L66"/>
    <mergeCell ref="N66:P66"/>
    <mergeCell ref="R66:T66"/>
    <mergeCell ref="L75:N75"/>
    <mergeCell ref="P75:R75"/>
    <mergeCell ref="T75:V75"/>
    <mergeCell ref="AK54:AR55"/>
    <mergeCell ref="V57:X57"/>
    <mergeCell ref="AH57:AJ57"/>
    <mergeCell ref="AL57:AN57"/>
    <mergeCell ref="AA39:AC39"/>
    <mergeCell ref="AH39:AJ39"/>
  </mergeCells>
  <phoneticPr fontId="2"/>
  <pageMargins left="0.7" right="0.7" top="0.75" bottom="0.75" header="0.3" footer="0.3"/>
  <pageSetup paperSize="9" scale="87" orientation="portrait" r:id="rId1"/>
  <colBreaks count="1" manualBreakCount="1">
    <brk id="31" max="4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Z78"/>
  <sheetViews>
    <sheetView topLeftCell="E40" zoomScaleNormal="100" zoomScaleSheetLayoutView="100" workbookViewId="0">
      <selection activeCell="BG9" sqref="BG9"/>
    </sheetView>
  </sheetViews>
  <sheetFormatPr defaultRowHeight="13.5" x14ac:dyDescent="0.15"/>
  <cols>
    <col min="1" max="4" width="3.625" style="30" hidden="1" customWidth="1"/>
    <col min="5" max="8" width="3.625" style="30" customWidth="1"/>
    <col min="9" max="9" width="3.625" style="31" customWidth="1"/>
    <col min="10" max="12" width="3.625" style="30" customWidth="1"/>
    <col min="13" max="13" width="3.625" style="31" customWidth="1"/>
    <col min="14" max="18" width="3.625" style="30" customWidth="1"/>
    <col min="19" max="19" width="3.625" style="31" customWidth="1"/>
    <col min="20" max="31" width="3.625" style="30" customWidth="1"/>
    <col min="32" max="52" width="3.625" style="30" hidden="1" customWidth="1"/>
    <col min="53" max="72" width="3.625" style="30" customWidth="1"/>
    <col min="73" max="16384" width="9" style="30"/>
  </cols>
  <sheetData>
    <row r="1" spans="1:42" ht="19.5" thickBot="1" x14ac:dyDescent="0.2">
      <c r="A1" s="103" t="s">
        <v>82</v>
      </c>
      <c r="B1" s="103"/>
      <c r="C1" s="103"/>
      <c r="D1" s="103"/>
      <c r="E1" s="168" t="s">
        <v>197</v>
      </c>
      <c r="F1" s="169"/>
      <c r="G1" s="169"/>
      <c r="H1" s="170"/>
      <c r="I1" s="171"/>
      <c r="J1" s="172"/>
      <c r="K1" s="172"/>
      <c r="L1" s="172"/>
      <c r="M1" s="171"/>
      <c r="N1" s="159"/>
      <c r="O1" s="159"/>
      <c r="P1" s="159"/>
      <c r="Q1" s="159"/>
      <c r="R1" s="159"/>
      <c r="S1" s="173"/>
      <c r="T1" s="159"/>
      <c r="U1" s="159"/>
      <c r="V1" s="159" t="str">
        <f>IF(入力シート!C19=0,"一般","現職組合員")</f>
        <v>一般</v>
      </c>
      <c r="W1" s="159"/>
      <c r="X1" s="159"/>
      <c r="Y1" s="159"/>
      <c r="Z1" s="159"/>
      <c r="AA1" s="159"/>
      <c r="AB1" s="159"/>
      <c r="AC1" s="159"/>
      <c r="AD1" s="159"/>
      <c r="AE1" s="159"/>
    </row>
    <row r="2" spans="1:42" ht="14.25" thickTop="1" x14ac:dyDescent="0.15">
      <c r="E2" s="159" t="s">
        <v>282</v>
      </c>
      <c r="F2" s="159"/>
      <c r="G2" s="159"/>
      <c r="H2" s="159"/>
      <c r="I2" s="173"/>
      <c r="J2" s="159"/>
      <c r="K2" s="159"/>
      <c r="L2" s="159"/>
      <c r="M2" s="173"/>
      <c r="N2" s="159"/>
      <c r="O2" s="159"/>
      <c r="P2" s="159"/>
      <c r="Q2" s="159"/>
      <c r="R2" s="159"/>
      <c r="S2" s="173"/>
      <c r="T2" s="159"/>
      <c r="U2" s="159"/>
      <c r="V2" s="159"/>
      <c r="W2" s="159"/>
      <c r="X2" s="159"/>
      <c r="Y2" s="159"/>
      <c r="Z2" s="159"/>
      <c r="AA2" s="174" t="str">
        <f>+入力シート!J16</f>
        <v>0</v>
      </c>
      <c r="AB2" s="159"/>
      <c r="AC2" s="159"/>
      <c r="AD2" s="159"/>
      <c r="AE2" s="159"/>
      <c r="AH2" s="317" t="str">
        <f>+Sheet3!Q3</f>
        <v>賃金のみで47万円超の場合</v>
      </c>
      <c r="AI2" s="318"/>
      <c r="AJ2" s="318"/>
      <c r="AK2" s="318"/>
      <c r="AL2" s="318"/>
      <c r="AM2" s="318"/>
      <c r="AN2" s="318"/>
      <c r="AO2" s="318"/>
      <c r="AP2" s="319"/>
    </row>
    <row r="3" spans="1:42" x14ac:dyDescent="0.15">
      <c r="C3" s="48"/>
      <c r="E3" s="159"/>
      <c r="F3" s="159"/>
      <c r="G3" s="159"/>
      <c r="H3" s="159"/>
      <c r="I3" s="173"/>
      <c r="J3" s="159"/>
      <c r="K3" s="159"/>
      <c r="L3" s="159"/>
      <c r="M3" s="173"/>
      <c r="N3" s="159"/>
      <c r="O3" s="159"/>
      <c r="P3" s="159"/>
      <c r="Q3" s="159"/>
      <c r="R3" s="159"/>
      <c r="S3" s="173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G3" s="75"/>
      <c r="AH3" s="320"/>
      <c r="AI3" s="321"/>
      <c r="AJ3" s="321"/>
      <c r="AK3" s="321"/>
      <c r="AL3" s="321"/>
      <c r="AM3" s="321"/>
      <c r="AN3" s="321"/>
      <c r="AO3" s="321"/>
      <c r="AP3" s="322"/>
    </row>
    <row r="4" spans="1:42" ht="13.5" customHeight="1" x14ac:dyDescent="0.15">
      <c r="C4" s="48"/>
      <c r="E4" s="159"/>
      <c r="F4" s="245" t="s">
        <v>187</v>
      </c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159"/>
      <c r="AG4" s="75"/>
      <c r="AH4" s="320"/>
      <c r="AI4" s="321"/>
      <c r="AJ4" s="321"/>
      <c r="AK4" s="321"/>
      <c r="AL4" s="321"/>
      <c r="AM4" s="321"/>
      <c r="AN4" s="321"/>
      <c r="AO4" s="321"/>
      <c r="AP4" s="322"/>
    </row>
    <row r="5" spans="1:42" ht="14.25" thickBot="1" x14ac:dyDescent="0.2">
      <c r="C5" s="48"/>
      <c r="E5" s="159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159"/>
      <c r="AG5" s="75"/>
      <c r="AH5" s="323"/>
      <c r="AI5" s="324"/>
      <c r="AJ5" s="324"/>
      <c r="AK5" s="324"/>
      <c r="AL5" s="324"/>
      <c r="AM5" s="324"/>
      <c r="AN5" s="324"/>
      <c r="AO5" s="324"/>
      <c r="AP5" s="325"/>
    </row>
    <row r="6" spans="1:42" ht="14.25" thickTop="1" x14ac:dyDescent="0.15">
      <c r="C6" s="48"/>
      <c r="E6" s="159"/>
      <c r="F6" s="159"/>
      <c r="G6" s="159"/>
      <c r="H6" s="159"/>
      <c r="I6" s="173"/>
      <c r="J6" s="159"/>
      <c r="K6" s="159"/>
      <c r="L6" s="159"/>
      <c r="M6" s="173"/>
      <c r="N6" s="159"/>
      <c r="O6" s="159"/>
      <c r="P6" s="159"/>
      <c r="Q6" s="159"/>
      <c r="R6" s="159"/>
      <c r="S6" s="173"/>
      <c r="T6" s="159"/>
      <c r="U6" s="159"/>
      <c r="V6" s="159"/>
      <c r="W6" s="159"/>
      <c r="X6" s="159"/>
      <c r="Y6" s="159"/>
      <c r="Z6" s="159"/>
      <c r="AA6" s="175"/>
      <c r="AB6" s="159"/>
      <c r="AC6" s="159"/>
      <c r="AD6" s="159"/>
      <c r="AE6" s="159"/>
      <c r="AG6" s="75"/>
    </row>
    <row r="7" spans="1:42" ht="17.25" x14ac:dyDescent="0.15">
      <c r="C7" s="48"/>
      <c r="E7" s="176" t="s">
        <v>163</v>
      </c>
      <c r="F7" s="159"/>
      <c r="G7" s="159"/>
      <c r="H7" s="159"/>
      <c r="I7" s="173"/>
      <c r="J7" s="159"/>
      <c r="K7" s="159"/>
      <c r="L7" s="159"/>
      <c r="M7" s="173"/>
      <c r="N7" s="159"/>
      <c r="O7" s="159"/>
      <c r="P7" s="159"/>
      <c r="Q7" s="159"/>
      <c r="R7" s="159"/>
      <c r="S7" s="173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G7" s="75"/>
    </row>
    <row r="8" spans="1:42" ht="15" customHeight="1" x14ac:dyDescent="0.15">
      <c r="C8" s="48"/>
      <c r="E8" s="159"/>
      <c r="F8" s="159"/>
      <c r="G8" s="159"/>
      <c r="H8" s="159"/>
      <c r="I8" s="173"/>
      <c r="J8" s="159"/>
      <c r="K8" s="159"/>
      <c r="L8" s="159"/>
      <c r="M8" s="173"/>
      <c r="N8" s="159"/>
      <c r="O8" s="159"/>
      <c r="P8" s="159"/>
      <c r="Q8" s="159"/>
      <c r="R8" s="159"/>
      <c r="S8" s="173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G8" s="75"/>
      <c r="AI8" s="126"/>
    </row>
    <row r="9" spans="1:42" ht="15" customHeight="1" thickBot="1" x14ac:dyDescent="0.2">
      <c r="C9" s="48"/>
      <c r="E9" s="159"/>
      <c r="F9" s="159"/>
      <c r="G9" s="159"/>
      <c r="H9" s="162"/>
      <c r="I9" s="160" t="s">
        <v>1</v>
      </c>
      <c r="J9" s="160"/>
      <c r="K9" s="173"/>
      <c r="L9" s="162"/>
      <c r="M9" s="160" t="s">
        <v>36</v>
      </c>
      <c r="N9" s="160"/>
      <c r="O9" s="159"/>
      <c r="P9" s="162"/>
      <c r="Q9" s="160" t="s">
        <v>36</v>
      </c>
      <c r="R9" s="160"/>
      <c r="S9" s="159"/>
      <c r="T9" s="162"/>
      <c r="U9" s="160" t="s">
        <v>36</v>
      </c>
      <c r="V9" s="160"/>
      <c r="W9" s="159"/>
      <c r="X9" s="159"/>
      <c r="Y9" s="159"/>
      <c r="Z9" s="160"/>
      <c r="AA9" s="160"/>
      <c r="AB9" s="160" t="s">
        <v>181</v>
      </c>
      <c r="AC9" s="160"/>
      <c r="AD9" s="159"/>
      <c r="AE9" s="159"/>
      <c r="AG9" s="75"/>
      <c r="AH9" s="126"/>
      <c r="AI9" s="65" t="s">
        <v>99</v>
      </c>
      <c r="AJ9" s="126"/>
      <c r="AM9" s="136" t="s">
        <v>203</v>
      </c>
    </row>
    <row r="10" spans="1:42" ht="15" customHeight="1" thickTop="1" thickBot="1" x14ac:dyDescent="0.2">
      <c r="C10" s="48"/>
      <c r="E10" s="159"/>
      <c r="F10" s="162" t="s">
        <v>58</v>
      </c>
      <c r="G10" s="159"/>
      <c r="H10" s="247">
        <f>+入力シート!D6</f>
        <v>98000</v>
      </c>
      <c r="I10" s="248"/>
      <c r="J10" s="249"/>
      <c r="K10" s="178" t="s">
        <v>86</v>
      </c>
      <c r="L10" s="247">
        <f>+入力シート!E6</f>
        <v>0</v>
      </c>
      <c r="M10" s="250"/>
      <c r="N10" s="251"/>
      <c r="O10" s="163" t="s">
        <v>50</v>
      </c>
      <c r="P10" s="247">
        <f>+入力シート!F6</f>
        <v>0</v>
      </c>
      <c r="Q10" s="250"/>
      <c r="R10" s="251"/>
      <c r="S10" s="163" t="s">
        <v>50</v>
      </c>
      <c r="T10" s="247">
        <f>+入力シート!G6</f>
        <v>0</v>
      </c>
      <c r="U10" s="250"/>
      <c r="V10" s="251"/>
      <c r="W10" s="252" t="s">
        <v>88</v>
      </c>
      <c r="X10" s="253"/>
      <c r="Y10" s="253"/>
      <c r="Z10" s="163" t="s">
        <v>51</v>
      </c>
      <c r="AA10" s="260">
        <f>ROUNDDOWN(AH10,0)</f>
        <v>98000</v>
      </c>
      <c r="AB10" s="261"/>
      <c r="AC10" s="262"/>
      <c r="AD10" s="159"/>
      <c r="AE10" s="159"/>
      <c r="AG10" s="75"/>
      <c r="AH10" s="266">
        <f>+H10+(L10+P10+T10)/12</f>
        <v>98000</v>
      </c>
      <c r="AI10" s="267"/>
      <c r="AJ10" s="268"/>
      <c r="AL10" s="254">
        <f>+算定シート1!D19</f>
        <v>98000</v>
      </c>
      <c r="AM10" s="255"/>
      <c r="AN10" s="256"/>
    </row>
    <row r="11" spans="1:42" ht="15" customHeight="1" x14ac:dyDescent="0.15">
      <c r="C11" s="48"/>
      <c r="E11" s="159"/>
      <c r="F11" s="159"/>
      <c r="G11" s="159"/>
      <c r="H11" s="159"/>
      <c r="I11" s="173"/>
      <c r="J11" s="159"/>
      <c r="K11" s="159"/>
      <c r="L11" s="159"/>
      <c r="M11" s="173"/>
      <c r="N11" s="159"/>
      <c r="O11" s="159"/>
      <c r="P11" s="159"/>
      <c r="Q11" s="159"/>
      <c r="R11" s="159"/>
      <c r="S11" s="173"/>
      <c r="T11" s="159"/>
      <c r="U11" s="159"/>
      <c r="V11" s="159"/>
      <c r="W11" s="159"/>
      <c r="X11" s="159"/>
      <c r="Y11" s="159"/>
      <c r="Z11" s="159"/>
      <c r="AA11" s="159"/>
      <c r="AB11" s="167" t="s">
        <v>76</v>
      </c>
      <c r="AC11" s="159"/>
      <c r="AD11" s="159"/>
      <c r="AE11" s="159"/>
      <c r="AG11" s="75"/>
      <c r="AH11" s="79"/>
      <c r="AI11" s="79"/>
      <c r="AJ11" s="79"/>
      <c r="AL11" s="79"/>
      <c r="AM11" s="79"/>
      <c r="AN11" s="79"/>
    </row>
    <row r="12" spans="1:42" ht="15" customHeight="1" x14ac:dyDescent="0.15">
      <c r="C12" s="48"/>
      <c r="E12" s="159"/>
      <c r="F12" s="159"/>
      <c r="G12" s="159"/>
      <c r="H12" s="159"/>
      <c r="I12" s="173"/>
      <c r="J12" s="159"/>
      <c r="K12" s="159"/>
      <c r="L12" s="159"/>
      <c r="M12" s="173"/>
      <c r="N12" s="159"/>
      <c r="O12" s="159"/>
      <c r="P12" s="159"/>
      <c r="Q12" s="159"/>
      <c r="R12" s="159"/>
      <c r="S12" s="173"/>
      <c r="T12" s="159"/>
      <c r="U12" s="159"/>
      <c r="V12" s="159"/>
      <c r="W12" s="159"/>
      <c r="X12" s="159"/>
      <c r="Y12" s="159"/>
      <c r="Z12" s="159"/>
      <c r="AA12" s="159"/>
      <c r="AB12" s="167"/>
      <c r="AC12" s="159"/>
      <c r="AD12" s="159"/>
      <c r="AE12" s="159"/>
      <c r="AG12" s="75"/>
      <c r="AH12" s="79"/>
      <c r="AI12" s="79"/>
      <c r="AJ12" s="79"/>
      <c r="AL12" s="79"/>
      <c r="AM12" s="79"/>
      <c r="AN12" s="79"/>
    </row>
    <row r="13" spans="1:42" ht="15" customHeight="1" thickBot="1" x14ac:dyDescent="0.2">
      <c r="C13" s="48"/>
      <c r="E13" s="159"/>
      <c r="F13" s="159"/>
      <c r="G13" s="159"/>
      <c r="H13" s="159"/>
      <c r="I13" s="173"/>
      <c r="J13" s="159"/>
      <c r="K13" s="159"/>
      <c r="L13" s="162"/>
      <c r="M13" s="164" t="s">
        <v>153</v>
      </c>
      <c r="N13" s="160"/>
      <c r="O13" s="159"/>
      <c r="P13" s="159"/>
      <c r="Q13" s="159"/>
      <c r="R13" s="159"/>
      <c r="S13" s="160"/>
      <c r="T13" s="160" t="s">
        <v>191</v>
      </c>
      <c r="U13" s="160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G13" s="75"/>
      <c r="AH13" s="80"/>
      <c r="AI13" s="102" t="s">
        <v>101</v>
      </c>
      <c r="AJ13" s="80"/>
      <c r="AL13" s="80"/>
      <c r="AM13" s="136" t="s">
        <v>203</v>
      </c>
      <c r="AN13" s="80"/>
    </row>
    <row r="14" spans="1:42" ht="15" customHeight="1" thickTop="1" thickBot="1" x14ac:dyDescent="0.2">
      <c r="C14" s="48"/>
      <c r="E14" s="159"/>
      <c r="F14" s="162" t="s">
        <v>184</v>
      </c>
      <c r="G14" s="159"/>
      <c r="H14" s="159"/>
      <c r="I14" s="173"/>
      <c r="J14" s="159"/>
      <c r="K14" s="159"/>
      <c r="L14" s="247">
        <f>+入力シート!D15</f>
        <v>0</v>
      </c>
      <c r="M14" s="248"/>
      <c r="N14" s="249"/>
      <c r="O14" s="257" t="s">
        <v>150</v>
      </c>
      <c r="P14" s="258"/>
      <c r="Q14" s="258"/>
      <c r="R14" s="259"/>
      <c r="S14" s="260">
        <f>ROUND(AH14,2)</f>
        <v>0</v>
      </c>
      <c r="T14" s="261"/>
      <c r="U14" s="262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G14" s="75"/>
      <c r="AH14" s="263">
        <f>+L14/12</f>
        <v>0</v>
      </c>
      <c r="AI14" s="264"/>
      <c r="AJ14" s="265"/>
      <c r="AL14" s="254">
        <f>+算定シート1!D27</f>
        <v>0</v>
      </c>
      <c r="AM14" s="255"/>
      <c r="AN14" s="256"/>
    </row>
    <row r="15" spans="1:42" ht="15" customHeight="1" x14ac:dyDescent="0.15">
      <c r="C15" s="48"/>
      <c r="E15" s="159"/>
      <c r="F15" s="159"/>
      <c r="G15" s="159"/>
      <c r="H15" s="159"/>
      <c r="I15" s="173"/>
      <c r="J15" s="159"/>
      <c r="K15" s="159"/>
      <c r="L15" s="159"/>
      <c r="M15" s="159"/>
      <c r="N15" s="159"/>
      <c r="O15" s="173"/>
      <c r="P15" s="173"/>
      <c r="Q15" s="173"/>
      <c r="R15" s="173"/>
      <c r="S15" s="159"/>
      <c r="T15" s="167"/>
      <c r="U15" s="159"/>
      <c r="V15" s="160"/>
      <c r="W15" s="159"/>
      <c r="X15" s="159"/>
      <c r="Y15" s="159"/>
      <c r="Z15" s="159"/>
      <c r="AA15" s="159"/>
      <c r="AB15" s="159"/>
      <c r="AC15" s="159"/>
      <c r="AD15" s="159"/>
      <c r="AE15" s="159"/>
      <c r="AG15" s="75"/>
      <c r="AH15" s="79"/>
      <c r="AI15" s="79"/>
      <c r="AJ15" s="79"/>
      <c r="AL15" s="79"/>
      <c r="AM15" s="79"/>
      <c r="AN15" s="79"/>
    </row>
    <row r="16" spans="1:42" ht="15" customHeight="1" thickBot="1" x14ac:dyDescent="0.2">
      <c r="C16" s="48"/>
      <c r="E16" s="159"/>
      <c r="F16" s="159"/>
      <c r="G16" s="159"/>
      <c r="H16" s="159"/>
      <c r="I16" s="173"/>
      <c r="J16" s="159"/>
      <c r="K16" s="159"/>
      <c r="L16" s="179"/>
      <c r="M16" s="164" t="s">
        <v>153</v>
      </c>
      <c r="N16" s="164"/>
      <c r="O16" s="180"/>
      <c r="P16" s="173"/>
      <c r="Q16" s="173"/>
      <c r="R16" s="173"/>
      <c r="S16" s="160"/>
      <c r="T16" s="160" t="s">
        <v>192</v>
      </c>
      <c r="U16" s="160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G16" s="75"/>
      <c r="AH16" s="80"/>
      <c r="AI16" s="102" t="s">
        <v>100</v>
      </c>
      <c r="AJ16" s="80"/>
      <c r="AL16" s="80"/>
      <c r="AM16" s="126" t="s">
        <v>203</v>
      </c>
      <c r="AN16" s="80"/>
    </row>
    <row r="17" spans="3:45" ht="15" customHeight="1" thickTop="1" thickBot="1" x14ac:dyDescent="0.2">
      <c r="C17" s="48"/>
      <c r="E17" s="159"/>
      <c r="F17" s="162" t="s">
        <v>185</v>
      </c>
      <c r="G17" s="159"/>
      <c r="H17" s="159"/>
      <c r="I17" s="173"/>
      <c r="J17" s="181"/>
      <c r="K17" s="159"/>
      <c r="L17" s="247">
        <f>+入力シート!D9</f>
        <v>0</v>
      </c>
      <c r="M17" s="248"/>
      <c r="N17" s="249"/>
      <c r="O17" s="257" t="s">
        <v>150</v>
      </c>
      <c r="P17" s="258"/>
      <c r="Q17" s="258"/>
      <c r="R17" s="259"/>
      <c r="S17" s="260">
        <f>ROUND(AH17,2)</f>
        <v>0</v>
      </c>
      <c r="T17" s="261"/>
      <c r="U17" s="262"/>
      <c r="V17" s="182"/>
      <c r="W17" s="159"/>
      <c r="X17" s="159"/>
      <c r="Y17" s="159"/>
      <c r="Z17" s="159"/>
      <c r="AA17" s="159"/>
      <c r="AB17" s="159"/>
      <c r="AC17" s="159"/>
      <c r="AD17" s="159"/>
      <c r="AE17" s="159"/>
      <c r="AG17" s="75"/>
      <c r="AH17" s="266">
        <f>+(L17)/12</f>
        <v>0</v>
      </c>
      <c r="AI17" s="267"/>
      <c r="AJ17" s="268"/>
      <c r="AL17" s="254">
        <f>+算定シート1!D23</f>
        <v>0</v>
      </c>
      <c r="AM17" s="255"/>
      <c r="AN17" s="256"/>
    </row>
    <row r="18" spans="3:45" ht="15" customHeight="1" x14ac:dyDescent="0.15">
      <c r="C18" s="48"/>
      <c r="E18" s="159"/>
      <c r="F18" s="183" t="s">
        <v>73</v>
      </c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G18" s="75"/>
    </row>
    <row r="19" spans="3:45" ht="15" customHeight="1" thickBot="1" x14ac:dyDescent="0.2">
      <c r="C19" s="48"/>
      <c r="E19" s="159"/>
      <c r="F19" s="159"/>
      <c r="G19" s="159"/>
      <c r="H19" s="159"/>
      <c r="I19" s="173"/>
      <c r="J19" s="159"/>
      <c r="K19" s="159"/>
      <c r="L19" s="179"/>
      <c r="M19" s="164" t="s">
        <v>153</v>
      </c>
      <c r="N19" s="164"/>
      <c r="O19" s="180"/>
      <c r="P19" s="173"/>
      <c r="Q19" s="173"/>
      <c r="R19" s="173"/>
      <c r="S19" s="160"/>
      <c r="T19" s="160" t="s">
        <v>193</v>
      </c>
      <c r="U19" s="160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G19" s="75"/>
      <c r="AH19" s="80"/>
      <c r="AI19" s="102" t="s">
        <v>173</v>
      </c>
      <c r="AJ19" s="80"/>
    </row>
    <row r="20" spans="3:45" ht="15" customHeight="1" thickTop="1" thickBot="1" x14ac:dyDescent="0.2">
      <c r="C20" s="48"/>
      <c r="E20" s="159"/>
      <c r="F20" s="162" t="s">
        <v>186</v>
      </c>
      <c r="G20" s="159"/>
      <c r="H20" s="159"/>
      <c r="I20" s="173"/>
      <c r="J20" s="181"/>
      <c r="K20" s="159"/>
      <c r="L20" s="247">
        <f>+入力シート!D12</f>
        <v>0</v>
      </c>
      <c r="M20" s="248"/>
      <c r="N20" s="249"/>
      <c r="O20" s="257" t="s">
        <v>150</v>
      </c>
      <c r="P20" s="258"/>
      <c r="Q20" s="258"/>
      <c r="R20" s="259"/>
      <c r="S20" s="260">
        <f>ROUND(AH20,2)</f>
        <v>0</v>
      </c>
      <c r="T20" s="261"/>
      <c r="U20" s="262"/>
      <c r="V20" s="182"/>
      <c r="W20" s="159"/>
      <c r="X20" s="159"/>
      <c r="Y20" s="159"/>
      <c r="Z20" s="159"/>
      <c r="AA20" s="159"/>
      <c r="AB20" s="159"/>
      <c r="AC20" s="159"/>
      <c r="AD20" s="159"/>
      <c r="AE20" s="159"/>
      <c r="AG20" s="75"/>
      <c r="AH20" s="266">
        <f>+(L20)/12</f>
        <v>0</v>
      </c>
      <c r="AI20" s="267"/>
      <c r="AJ20" s="268"/>
    </row>
    <row r="21" spans="3:45" ht="15" customHeight="1" x14ac:dyDescent="0.15">
      <c r="C21" s="48"/>
      <c r="E21" s="159"/>
      <c r="F21" s="183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G21" s="75"/>
    </row>
    <row r="22" spans="3:45" ht="15" customHeight="1" thickBot="1" x14ac:dyDescent="0.2">
      <c r="C22" s="48"/>
      <c r="E22" s="159"/>
      <c r="F22" s="159" t="s">
        <v>40</v>
      </c>
      <c r="G22" s="159"/>
      <c r="H22" s="159"/>
      <c r="I22" s="173"/>
      <c r="J22" s="159"/>
      <c r="K22" s="159"/>
      <c r="L22" s="162"/>
      <c r="M22" s="160" t="s">
        <v>149</v>
      </c>
      <c r="N22" s="160"/>
      <c r="O22" s="159"/>
      <c r="P22" s="162"/>
      <c r="Q22" s="160" t="s">
        <v>192</v>
      </c>
      <c r="R22" s="160"/>
      <c r="S22" s="159"/>
      <c r="T22" s="162"/>
      <c r="U22" s="160" t="s">
        <v>193</v>
      </c>
      <c r="V22" s="160"/>
      <c r="W22" s="159"/>
      <c r="X22" s="160"/>
      <c r="Y22" s="160" t="s">
        <v>165</v>
      </c>
      <c r="Z22" s="160"/>
      <c r="AA22" s="159"/>
      <c r="AB22" s="159"/>
      <c r="AC22" s="159"/>
      <c r="AD22" s="159"/>
      <c r="AE22" s="159"/>
      <c r="AG22" s="75"/>
      <c r="AH22" s="126"/>
    </row>
    <row r="23" spans="3:45" ht="15" customHeight="1" thickTop="1" thickBot="1" x14ac:dyDescent="0.2">
      <c r="C23" s="48"/>
      <c r="E23" s="159"/>
      <c r="F23" s="162" t="s">
        <v>165</v>
      </c>
      <c r="G23" s="159"/>
      <c r="H23" s="159"/>
      <c r="I23" s="173"/>
      <c r="J23" s="159"/>
      <c r="K23" s="159"/>
      <c r="L23" s="247">
        <f>+S14</f>
        <v>0</v>
      </c>
      <c r="M23" s="250"/>
      <c r="N23" s="251"/>
      <c r="O23" s="184" t="s">
        <v>50</v>
      </c>
      <c r="P23" s="247">
        <f>+S17</f>
        <v>0</v>
      </c>
      <c r="Q23" s="248"/>
      <c r="R23" s="249"/>
      <c r="S23" s="184" t="s">
        <v>50</v>
      </c>
      <c r="T23" s="247">
        <f>+S20</f>
        <v>0</v>
      </c>
      <c r="U23" s="248"/>
      <c r="V23" s="249"/>
      <c r="W23" s="185" t="s">
        <v>51</v>
      </c>
      <c r="X23" s="260">
        <f>+P23+L23+T23</f>
        <v>0</v>
      </c>
      <c r="Y23" s="261"/>
      <c r="Z23" s="262"/>
      <c r="AA23" s="159"/>
      <c r="AB23" s="159"/>
      <c r="AC23" s="159"/>
      <c r="AD23" s="159"/>
      <c r="AE23" s="159"/>
      <c r="AG23" s="75"/>
    </row>
    <row r="24" spans="3:45" ht="15" customHeight="1" x14ac:dyDescent="0.15">
      <c r="C24" s="48"/>
      <c r="E24" s="159"/>
      <c r="F24" s="162"/>
      <c r="G24" s="159"/>
      <c r="H24" s="159"/>
      <c r="I24" s="173"/>
      <c r="J24" s="159"/>
      <c r="K24" s="186"/>
      <c r="L24" s="187"/>
      <c r="M24" s="187"/>
      <c r="N24" s="163"/>
      <c r="O24" s="186"/>
      <c r="P24" s="186"/>
      <c r="Q24" s="186"/>
      <c r="R24" s="160"/>
      <c r="S24" s="186"/>
      <c r="T24" s="187"/>
      <c r="U24" s="187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G24" s="75"/>
    </row>
    <row r="25" spans="3:45" ht="15" customHeight="1" x14ac:dyDescent="0.15">
      <c r="C25" s="48"/>
      <c r="E25" s="159"/>
      <c r="F25" s="162"/>
      <c r="G25" s="159"/>
      <c r="H25" s="159"/>
      <c r="I25" s="173"/>
      <c r="J25" s="159"/>
      <c r="K25" s="186"/>
      <c r="L25" s="187"/>
      <c r="M25" s="187"/>
      <c r="N25" s="163"/>
      <c r="O25" s="159"/>
      <c r="P25" s="159"/>
      <c r="Q25" s="159"/>
      <c r="R25" s="160"/>
      <c r="S25" s="186"/>
      <c r="T25" s="187"/>
      <c r="U25" s="187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G25" s="75"/>
    </row>
    <row r="26" spans="3:45" ht="15" customHeight="1" x14ac:dyDescent="0.15">
      <c r="C26" s="48"/>
      <c r="E26" s="159"/>
      <c r="F26" s="162"/>
      <c r="G26" s="159"/>
      <c r="H26" s="159"/>
      <c r="I26" s="173"/>
      <c r="J26" s="159"/>
      <c r="K26" s="186"/>
      <c r="L26" s="187"/>
      <c r="M26" s="187"/>
      <c r="N26" s="163"/>
      <c r="O26" s="186"/>
      <c r="P26" s="186"/>
      <c r="Q26" s="186"/>
      <c r="R26" s="160"/>
      <c r="S26" s="186"/>
      <c r="T26" s="187"/>
      <c r="U26" s="187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G26" s="75"/>
    </row>
    <row r="27" spans="3:45" ht="15" customHeight="1" x14ac:dyDescent="0.15">
      <c r="C27" s="48"/>
      <c r="E27" s="159"/>
      <c r="F27" s="159"/>
      <c r="G27" s="159"/>
      <c r="H27" s="159"/>
      <c r="I27" s="173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60" t="s">
        <v>40</v>
      </c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G27" s="75"/>
      <c r="AJ27" s="34"/>
    </row>
    <row r="28" spans="3:45" s="38" customFormat="1" ht="15" customHeight="1" x14ac:dyDescent="0.15">
      <c r="C28" s="47"/>
      <c r="E28" s="176" t="s">
        <v>164</v>
      </c>
      <c r="F28" s="162"/>
      <c r="G28" s="162"/>
      <c r="H28" s="162"/>
      <c r="I28" s="160"/>
      <c r="J28" s="162"/>
      <c r="K28" s="162"/>
      <c r="L28" s="162"/>
      <c r="M28" s="160"/>
      <c r="N28" s="162"/>
      <c r="O28" s="162"/>
      <c r="P28" s="162"/>
      <c r="Q28" s="162"/>
      <c r="R28" s="162"/>
      <c r="S28" s="160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G28" s="76"/>
      <c r="AJ28" s="62"/>
    </row>
    <row r="29" spans="3:45" s="38" customFormat="1" ht="15" customHeight="1" x14ac:dyDescent="0.15">
      <c r="C29" s="47"/>
      <c r="E29" s="176"/>
      <c r="F29" s="162"/>
      <c r="G29" s="162"/>
      <c r="H29" s="162"/>
      <c r="I29" s="160"/>
      <c r="J29" s="162"/>
      <c r="K29" s="162"/>
      <c r="L29" s="162"/>
      <c r="M29" s="160"/>
      <c r="N29" s="162"/>
      <c r="O29" s="162"/>
      <c r="P29" s="162"/>
      <c r="Q29" s="162"/>
      <c r="R29" s="162"/>
      <c r="S29" s="160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G29" s="76"/>
      <c r="AJ29" s="62"/>
    </row>
    <row r="30" spans="3:45" s="38" customFormat="1" ht="15" customHeight="1" thickBot="1" x14ac:dyDescent="0.2">
      <c r="C30" s="47"/>
      <c r="E30" s="162"/>
      <c r="F30" s="162"/>
      <c r="G30" s="162"/>
      <c r="H30" s="160" t="s">
        <v>165</v>
      </c>
      <c r="I30" s="160"/>
      <c r="J30" s="160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0" t="s">
        <v>58</v>
      </c>
      <c r="V30" s="160"/>
      <c r="W30" s="162"/>
      <c r="X30" s="162"/>
      <c r="Y30" s="162"/>
      <c r="Z30" s="162"/>
      <c r="AA30" s="162"/>
      <c r="AB30" s="160"/>
      <c r="AC30" s="160" t="s">
        <v>147</v>
      </c>
      <c r="AD30" s="160"/>
      <c r="AE30" s="162"/>
      <c r="AG30" s="76"/>
      <c r="AH30" s="126"/>
      <c r="AI30" s="65" t="s">
        <v>102</v>
      </c>
      <c r="AJ30" s="126"/>
      <c r="AM30" s="126"/>
      <c r="AN30" s="65" t="s">
        <v>102</v>
      </c>
      <c r="AO30" s="126"/>
      <c r="AQ30" s="129"/>
      <c r="AR30" s="129" t="s">
        <v>80</v>
      </c>
      <c r="AS30" s="129"/>
    </row>
    <row r="31" spans="3:45" s="38" customFormat="1" ht="15" customHeight="1" thickTop="1" thickBot="1" x14ac:dyDescent="0.2">
      <c r="C31" s="47"/>
      <c r="E31" s="162"/>
      <c r="F31" s="188" t="s">
        <v>175</v>
      </c>
      <c r="G31" s="247">
        <f>+X23</f>
        <v>0</v>
      </c>
      <c r="H31" s="248"/>
      <c r="I31" s="249"/>
      <c r="J31" s="316" t="str">
        <f>+Sheet3!E12</f>
        <v>＋  ４７万円　－　２８万円 〕  ×  １／２　＋ 〔</v>
      </c>
      <c r="K31" s="297"/>
      <c r="L31" s="297"/>
      <c r="M31" s="269" t="str">
        <f>+Sheet3!J25</f>
        <v>－　２８万円 〕  ×  １／２　＋ 〔</v>
      </c>
      <c r="N31" s="270"/>
      <c r="O31" s="270"/>
      <c r="P31" s="270"/>
      <c r="Q31" s="270"/>
      <c r="R31" s="270"/>
      <c r="S31" s="311"/>
      <c r="T31" s="247">
        <f>+AA10</f>
        <v>98000</v>
      </c>
      <c r="U31" s="248"/>
      <c r="V31" s="249"/>
      <c r="W31" s="312" t="str">
        <f>+Sheet3!Q12</f>
        <v>－  ４７万円 〕  ＝</v>
      </c>
      <c r="X31" s="270"/>
      <c r="Y31" s="270"/>
      <c r="Z31" s="270"/>
      <c r="AA31" s="270"/>
      <c r="AB31" s="260">
        <f>IF(AQ31&lt;G31,AQ31,G31)</f>
        <v>-277000</v>
      </c>
      <c r="AC31" s="261"/>
      <c r="AD31" s="262"/>
      <c r="AE31" s="162"/>
      <c r="AG31" s="76"/>
      <c r="AH31" s="276">
        <f>+(G31+Sheet3!B3-Sheet3!B25)/2+(T31-Sheet3!B3)</f>
        <v>-277000</v>
      </c>
      <c r="AI31" s="277"/>
      <c r="AJ31" s="278"/>
      <c r="AM31" s="279" t="e">
        <f>+L75*P75/T75</f>
        <v>#DIV/0!</v>
      </c>
      <c r="AN31" s="280"/>
      <c r="AO31" s="281"/>
      <c r="AQ31" s="313">
        <f>ROUND(AH31,2)</f>
        <v>-277000</v>
      </c>
      <c r="AR31" s="314"/>
      <c r="AS31" s="315"/>
    </row>
    <row r="32" spans="3:45" s="38" customFormat="1" ht="15" customHeight="1" x14ac:dyDescent="0.15">
      <c r="C32" s="47"/>
      <c r="E32" s="188"/>
      <c r="F32" s="189"/>
      <c r="G32" s="190"/>
      <c r="H32" s="190"/>
      <c r="I32" s="160"/>
      <c r="J32" s="189"/>
      <c r="K32" s="190"/>
      <c r="L32" s="190"/>
      <c r="M32" s="166"/>
      <c r="N32" s="166"/>
      <c r="O32" s="160"/>
      <c r="P32" s="189"/>
      <c r="Q32" s="190"/>
      <c r="R32" s="190"/>
      <c r="S32" s="162"/>
      <c r="T32" s="162"/>
      <c r="U32" s="167"/>
      <c r="V32" s="162"/>
      <c r="W32" s="162"/>
      <c r="X32" s="162"/>
      <c r="Y32" s="162"/>
      <c r="Z32" s="162"/>
      <c r="AA32" s="191" t="str">
        <f>IF(AQ31&lt;G31,"","注）年金額の全額停止")</f>
        <v/>
      </c>
      <c r="AB32" s="162"/>
      <c r="AC32" s="162"/>
      <c r="AD32" s="162"/>
      <c r="AE32" s="162"/>
      <c r="AG32" s="76"/>
      <c r="AH32" s="62"/>
      <c r="AO32" s="38" t="s">
        <v>40</v>
      </c>
    </row>
    <row r="33" spans="3:52" s="38" customFormat="1" ht="15" customHeight="1" x14ac:dyDescent="0.15">
      <c r="C33" s="47"/>
      <c r="E33" s="188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G33" s="76"/>
    </row>
    <row r="34" spans="3:52" s="38" customFormat="1" ht="15" customHeight="1" x14ac:dyDescent="0.15">
      <c r="C34" s="47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G34" s="76"/>
      <c r="AH34" s="38" t="s">
        <v>97</v>
      </c>
    </row>
    <row r="35" spans="3:52" s="38" customFormat="1" ht="15" customHeight="1" x14ac:dyDescent="0.15">
      <c r="C35" s="47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G35" s="76"/>
      <c r="AH35" s="273">
        <f>+Z31</f>
        <v>0</v>
      </c>
      <c r="AI35" s="274"/>
      <c r="AJ35" s="275"/>
      <c r="AK35" s="52" t="s">
        <v>62</v>
      </c>
      <c r="AL35" s="273">
        <f>+S14</f>
        <v>0</v>
      </c>
      <c r="AM35" s="274"/>
      <c r="AN35" s="275"/>
      <c r="AO35" s="52" t="s">
        <v>63</v>
      </c>
      <c r="AP35" s="273">
        <f>+T75</f>
        <v>0</v>
      </c>
      <c r="AQ35" s="274"/>
      <c r="AR35" s="275"/>
      <c r="AS35" s="128" t="s">
        <v>51</v>
      </c>
      <c r="AT35" s="273" t="e">
        <f>+AH35*AL35/AP35</f>
        <v>#DIV/0!</v>
      </c>
      <c r="AU35" s="274"/>
      <c r="AV35" s="275"/>
    </row>
    <row r="36" spans="3:52" s="38" customFormat="1" ht="15" customHeight="1" x14ac:dyDescent="0.15">
      <c r="C36" s="47"/>
      <c r="E36" s="176" t="s">
        <v>195</v>
      </c>
      <c r="F36" s="162"/>
      <c r="G36" s="190"/>
      <c r="H36" s="190"/>
      <c r="I36" s="160"/>
      <c r="J36" s="189"/>
      <c r="K36" s="163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59"/>
      <c r="AB36" s="159"/>
      <c r="AC36" s="159"/>
      <c r="AD36" s="162"/>
      <c r="AE36" s="162"/>
      <c r="AG36" s="76"/>
    </row>
    <row r="37" spans="3:52" s="38" customFormat="1" ht="15" customHeight="1" x14ac:dyDescent="0.15">
      <c r="C37" s="47"/>
      <c r="E37" s="176"/>
      <c r="F37" s="162"/>
      <c r="G37" s="190"/>
      <c r="H37" s="190"/>
      <c r="I37" s="160"/>
      <c r="J37" s="189"/>
      <c r="K37" s="163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59"/>
      <c r="AB37" s="159"/>
      <c r="AC37" s="159"/>
      <c r="AD37" s="162"/>
      <c r="AE37" s="162"/>
      <c r="AG37" s="76"/>
    </row>
    <row r="38" spans="3:52" s="38" customFormat="1" ht="15" customHeight="1" thickBot="1" x14ac:dyDescent="0.2">
      <c r="C38" s="47"/>
      <c r="E38" s="176"/>
      <c r="F38" s="162"/>
      <c r="G38" s="190"/>
      <c r="H38" s="190"/>
      <c r="I38" s="160"/>
      <c r="J38" s="162"/>
      <c r="K38" s="162"/>
      <c r="L38" s="163"/>
      <c r="M38" s="160" t="s">
        <v>147</v>
      </c>
      <c r="N38" s="163"/>
      <c r="O38" s="162"/>
      <c r="P38" s="162"/>
      <c r="Q38" s="165"/>
      <c r="R38" s="160" t="s">
        <v>192</v>
      </c>
      <c r="S38" s="166"/>
      <c r="T38" s="160"/>
      <c r="U38" s="162"/>
      <c r="V38" s="189"/>
      <c r="W38" s="160" t="s">
        <v>165</v>
      </c>
      <c r="X38" s="190"/>
      <c r="Y38" s="162"/>
      <c r="Z38" s="162"/>
      <c r="AA38" s="160"/>
      <c r="AB38" s="160" t="s">
        <v>152</v>
      </c>
      <c r="AC38" s="160"/>
      <c r="AD38" s="162"/>
      <c r="AE38" s="162"/>
      <c r="AG38" s="76"/>
      <c r="AH38" s="126"/>
      <c r="AI38" s="65" t="s">
        <v>103</v>
      </c>
      <c r="AJ38" s="126"/>
      <c r="AK38" s="30"/>
      <c r="AL38" s="30"/>
      <c r="AM38" s="30"/>
      <c r="AN38" s="30"/>
      <c r="AO38" s="30"/>
      <c r="AP38" s="126"/>
      <c r="AQ38" s="111" t="s">
        <v>139</v>
      </c>
      <c r="AR38" s="54"/>
      <c r="AS38" s="55"/>
      <c r="AT38" s="54"/>
      <c r="AU38" s="111" t="s">
        <v>108</v>
      </c>
      <c r="AV38" s="126"/>
    </row>
    <row r="39" spans="3:52" ht="15" customHeight="1" thickTop="1" thickBot="1" x14ac:dyDescent="0.2">
      <c r="C39" s="48"/>
      <c r="E39" s="159"/>
      <c r="F39" s="162" t="s">
        <v>188</v>
      </c>
      <c r="G39" s="159"/>
      <c r="H39" s="190"/>
      <c r="I39" s="160"/>
      <c r="J39" s="159"/>
      <c r="K39" s="159"/>
      <c r="L39" s="247">
        <f>+AB31</f>
        <v>-277000</v>
      </c>
      <c r="M39" s="248"/>
      <c r="N39" s="249"/>
      <c r="O39" s="271" t="s">
        <v>62</v>
      </c>
      <c r="P39" s="311"/>
      <c r="Q39" s="247">
        <f>+P23</f>
        <v>0</v>
      </c>
      <c r="R39" s="248"/>
      <c r="S39" s="249"/>
      <c r="T39" s="271" t="s">
        <v>63</v>
      </c>
      <c r="U39" s="311"/>
      <c r="V39" s="247">
        <f>+X23</f>
        <v>0</v>
      </c>
      <c r="W39" s="248"/>
      <c r="X39" s="249"/>
      <c r="Y39" s="271" t="s">
        <v>51</v>
      </c>
      <c r="Z39" s="297"/>
      <c r="AA39" s="260" t="e">
        <f>ROUND(AH39,2)</f>
        <v>#DIV/0!</v>
      </c>
      <c r="AB39" s="261"/>
      <c r="AC39" s="262"/>
      <c r="AD39" s="159"/>
      <c r="AE39" s="159"/>
      <c r="AG39" s="75"/>
      <c r="AH39" s="266" t="e">
        <f>+L39*Q39/V39</f>
        <v>#DIV/0!</v>
      </c>
      <c r="AI39" s="267"/>
      <c r="AJ39" s="268"/>
      <c r="AP39" s="285" t="e">
        <f>+S17-AH39</f>
        <v>#DIV/0!</v>
      </c>
      <c r="AQ39" s="286"/>
      <c r="AR39" s="287"/>
      <c r="AT39" s="285" t="e">
        <f>+AP39+AH57/12</f>
        <v>#DIV/0!</v>
      </c>
      <c r="AU39" s="286"/>
      <c r="AV39" s="287"/>
    </row>
    <row r="40" spans="3:52" ht="15" customHeight="1" x14ac:dyDescent="0.15">
      <c r="C40" s="48"/>
      <c r="E40" s="159"/>
      <c r="F40" s="18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67"/>
      <c r="Z40" s="191" t="str">
        <f>IF(L39&lt;S17,"","注）３号厚年の全額停止")</f>
        <v/>
      </c>
      <c r="AA40" s="159"/>
      <c r="AB40" s="159"/>
      <c r="AC40" s="159"/>
      <c r="AD40" s="159"/>
      <c r="AE40" s="159"/>
      <c r="AG40" s="75"/>
    </row>
    <row r="41" spans="3:52" ht="15" customHeight="1" x14ac:dyDescent="0.15">
      <c r="C41" s="48"/>
      <c r="E41" s="159"/>
      <c r="F41" s="159"/>
      <c r="G41" s="159"/>
      <c r="H41" s="159"/>
      <c r="I41" s="173"/>
      <c r="J41" s="159"/>
      <c r="K41" s="159"/>
      <c r="L41" s="159"/>
      <c r="M41" s="173"/>
      <c r="N41" s="159"/>
      <c r="O41" s="159"/>
      <c r="P41" s="159"/>
      <c r="Q41" s="159"/>
      <c r="R41" s="159"/>
      <c r="S41" s="173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G41" s="75"/>
      <c r="AJ41" s="34"/>
    </row>
    <row r="42" spans="3:52" ht="15" customHeight="1" x14ac:dyDescent="0.15">
      <c r="C42" s="48"/>
      <c r="E42" s="159"/>
      <c r="F42" s="159"/>
      <c r="G42" s="159"/>
      <c r="H42" s="159"/>
      <c r="I42" s="159"/>
      <c r="J42" s="159"/>
      <c r="K42" s="159"/>
      <c r="L42" s="159"/>
      <c r="M42" s="173"/>
      <c r="N42" s="159"/>
      <c r="O42" s="159"/>
      <c r="P42" s="159"/>
      <c r="Q42" s="159"/>
      <c r="R42" s="159"/>
      <c r="S42" s="173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G42" s="75"/>
      <c r="AJ42" s="34"/>
    </row>
    <row r="43" spans="3:52" ht="15" customHeight="1" x14ac:dyDescent="0.15">
      <c r="C43" s="48"/>
      <c r="E43" s="159"/>
      <c r="F43" s="18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G43" s="75"/>
      <c r="AJ43" s="34"/>
    </row>
    <row r="44" spans="3:52" ht="15" customHeight="1" x14ac:dyDescent="0.15">
      <c r="C44" s="48"/>
      <c r="E44" s="176" t="s">
        <v>161</v>
      </c>
      <c r="F44" s="162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G44" s="75"/>
      <c r="AJ44" s="34"/>
    </row>
    <row r="45" spans="3:52" ht="15" customHeight="1" x14ac:dyDescent="0.15">
      <c r="C45" s="48"/>
      <c r="E45" s="192"/>
      <c r="F45" s="162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G45" s="75"/>
      <c r="AJ45" s="34"/>
    </row>
    <row r="46" spans="3:52" ht="15" customHeight="1" thickBot="1" x14ac:dyDescent="0.2">
      <c r="C46" s="48"/>
      <c r="E46" s="159"/>
      <c r="F46" s="162" t="s">
        <v>40</v>
      </c>
      <c r="G46" s="159"/>
      <c r="H46" s="159"/>
      <c r="I46" s="159"/>
      <c r="J46" s="159"/>
      <c r="K46" s="159"/>
      <c r="L46" s="163"/>
      <c r="M46" s="160" t="s">
        <v>75</v>
      </c>
      <c r="N46" s="163"/>
      <c r="O46" s="159"/>
      <c r="P46" s="165"/>
      <c r="Q46" s="159"/>
      <c r="R46" s="159"/>
      <c r="S46" s="173"/>
      <c r="T46" s="159"/>
      <c r="U46" s="159"/>
      <c r="V46" s="165"/>
      <c r="W46" s="160" t="s">
        <v>74</v>
      </c>
      <c r="X46" s="166"/>
      <c r="Y46" s="159"/>
      <c r="Z46" s="159"/>
      <c r="AA46" s="159"/>
      <c r="AB46" s="159"/>
      <c r="AC46" s="159"/>
      <c r="AD46" s="159"/>
      <c r="AE46" s="159"/>
      <c r="AG46" s="75"/>
      <c r="AH46" s="127"/>
      <c r="AI46" s="65" t="s">
        <v>104</v>
      </c>
      <c r="AJ46" s="95"/>
      <c r="AL46" s="38"/>
      <c r="AM46" s="136" t="s">
        <v>203</v>
      </c>
      <c r="AN46" s="38"/>
      <c r="AP46" s="126"/>
      <c r="AQ46" s="111" t="s">
        <v>139</v>
      </c>
      <c r="AR46" s="54"/>
      <c r="AS46" s="55"/>
      <c r="AT46" s="54"/>
      <c r="AU46" s="111" t="s">
        <v>108</v>
      </c>
      <c r="AV46" s="126"/>
      <c r="AX46" s="38"/>
      <c r="AY46" s="136" t="s">
        <v>203</v>
      </c>
      <c r="AZ46" s="38"/>
    </row>
    <row r="47" spans="3:52" ht="15" customHeight="1" thickTop="1" thickBot="1" x14ac:dyDescent="0.2">
      <c r="C47" s="48"/>
      <c r="E47" s="159"/>
      <c r="F47" s="162" t="s">
        <v>188</v>
      </c>
      <c r="G47" s="159"/>
      <c r="H47" s="159"/>
      <c r="I47" s="159"/>
      <c r="J47" s="159"/>
      <c r="K47" s="159"/>
      <c r="L47" s="247" t="e">
        <f>+AA39</f>
        <v>#DIV/0!</v>
      </c>
      <c r="M47" s="248"/>
      <c r="N47" s="249"/>
      <c r="O47" s="294" t="s">
        <v>183</v>
      </c>
      <c r="P47" s="295"/>
      <c r="Q47" s="296"/>
      <c r="R47" s="297"/>
      <c r="S47" s="297"/>
      <c r="T47" s="297"/>
      <c r="U47" s="298"/>
      <c r="V47" s="260">
        <f>IF(P39=Z39,L17,ROUNDDOWN(L47*12,0))</f>
        <v>0</v>
      </c>
      <c r="W47" s="261"/>
      <c r="X47" s="262"/>
      <c r="Y47" s="159"/>
      <c r="Z47" s="159"/>
      <c r="AA47" s="159"/>
      <c r="AB47" s="159"/>
      <c r="AC47" s="159"/>
      <c r="AD47" s="159"/>
      <c r="AE47" s="159"/>
      <c r="AG47" s="75"/>
      <c r="AH47" s="276" t="e">
        <f>+L47*12</f>
        <v>#DIV/0!</v>
      </c>
      <c r="AI47" s="277"/>
      <c r="AJ47" s="278"/>
      <c r="AL47" s="291" t="e">
        <f>+算定シート1!D57</f>
        <v>#DIV/0!</v>
      </c>
      <c r="AM47" s="292"/>
      <c r="AN47" s="293"/>
      <c r="AP47" s="285">
        <f>+L17-AH57-V47</f>
        <v>0</v>
      </c>
      <c r="AQ47" s="286"/>
      <c r="AR47" s="287"/>
      <c r="AT47" s="285">
        <f>+AP47+AH57</f>
        <v>0</v>
      </c>
      <c r="AU47" s="286"/>
      <c r="AV47" s="287"/>
      <c r="AX47" s="291" t="e">
        <f>+算定シート1!D58</f>
        <v>#DIV/0!</v>
      </c>
      <c r="AY47" s="292"/>
      <c r="AZ47" s="293"/>
    </row>
    <row r="48" spans="3:52" ht="15" customHeight="1" x14ac:dyDescent="0.15">
      <c r="C48" s="48"/>
      <c r="E48" s="159"/>
      <c r="F48" s="159"/>
      <c r="G48" s="159"/>
      <c r="H48" s="159"/>
      <c r="I48" s="159"/>
      <c r="J48" s="159"/>
      <c r="K48" s="159"/>
      <c r="L48" s="159"/>
      <c r="M48" s="186"/>
      <c r="N48" s="187"/>
      <c r="O48" s="187"/>
      <c r="P48" s="193"/>
      <c r="Q48" s="182"/>
      <c r="R48" s="159"/>
      <c r="S48" s="173"/>
      <c r="T48" s="159"/>
      <c r="U48" s="187"/>
      <c r="V48" s="182"/>
      <c r="W48" s="167" t="str">
        <f>IF(V47=L17,AI50,AI49)</f>
        <v>（年金額の全額停止）</v>
      </c>
      <c r="X48" s="159"/>
      <c r="Y48" s="159"/>
      <c r="Z48" s="159"/>
      <c r="AA48" s="159"/>
      <c r="AB48" s="159"/>
      <c r="AC48" s="159"/>
      <c r="AD48" s="159"/>
      <c r="AE48" s="159"/>
      <c r="AG48" s="75"/>
    </row>
    <row r="49" spans="3:44" ht="15" customHeight="1" x14ac:dyDescent="0.15">
      <c r="C49" s="48"/>
      <c r="E49" s="159"/>
      <c r="F49" s="159"/>
      <c r="G49" s="159"/>
      <c r="H49" s="159"/>
      <c r="I49" s="159"/>
      <c r="J49" s="159"/>
      <c r="K49" s="159"/>
      <c r="L49" s="159"/>
      <c r="M49" s="186"/>
      <c r="N49" s="187"/>
      <c r="O49" s="187"/>
      <c r="P49" s="193"/>
      <c r="Q49" s="182"/>
      <c r="R49" s="182"/>
      <c r="S49" s="167"/>
      <c r="T49" s="159"/>
      <c r="U49" s="187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G49" s="75"/>
      <c r="AI49" s="105" t="s">
        <v>76</v>
      </c>
      <c r="AJ49" s="34"/>
    </row>
    <row r="50" spans="3:44" ht="15" customHeight="1" thickBot="1" x14ac:dyDescent="0.2">
      <c r="C50" s="48"/>
      <c r="E50" s="159"/>
      <c r="F50" s="162" t="s">
        <v>40</v>
      </c>
      <c r="G50" s="159"/>
      <c r="H50" s="159"/>
      <c r="I50" s="159"/>
      <c r="J50" s="159"/>
      <c r="K50" s="159"/>
      <c r="L50" s="163"/>
      <c r="M50" s="164" t="s">
        <v>153</v>
      </c>
      <c r="N50" s="163"/>
      <c r="O50" s="159"/>
      <c r="P50" s="159"/>
      <c r="Q50" s="162"/>
      <c r="R50" s="160" t="s">
        <v>74</v>
      </c>
      <c r="S50" s="160"/>
      <c r="T50" s="159"/>
      <c r="U50" s="159"/>
      <c r="V50" s="160"/>
      <c r="W50" s="160" t="s">
        <v>151</v>
      </c>
      <c r="X50" s="160"/>
      <c r="Y50" s="159"/>
      <c r="Z50" s="160"/>
      <c r="AA50" s="159"/>
      <c r="AB50" s="159"/>
      <c r="AC50" s="159"/>
      <c r="AD50" s="159"/>
      <c r="AE50" s="159"/>
      <c r="AG50" s="75"/>
      <c r="AI50" s="105" t="s">
        <v>182</v>
      </c>
      <c r="AJ50" s="34"/>
    </row>
    <row r="51" spans="3:44" ht="15" customHeight="1" thickTop="1" thickBot="1" x14ac:dyDescent="0.2">
      <c r="C51" s="48"/>
      <c r="E51" s="159"/>
      <c r="F51" s="162" t="s">
        <v>189</v>
      </c>
      <c r="G51" s="159"/>
      <c r="H51" s="159"/>
      <c r="I51" s="159"/>
      <c r="J51" s="159"/>
      <c r="K51" s="159"/>
      <c r="L51" s="247">
        <f>+L17</f>
        <v>0</v>
      </c>
      <c r="M51" s="248"/>
      <c r="N51" s="249"/>
      <c r="O51" s="299" t="s">
        <v>43</v>
      </c>
      <c r="P51" s="300"/>
      <c r="Q51" s="247">
        <f>+V47</f>
        <v>0</v>
      </c>
      <c r="R51" s="250"/>
      <c r="S51" s="251"/>
      <c r="T51" s="299" t="s">
        <v>51</v>
      </c>
      <c r="U51" s="298"/>
      <c r="V51" s="260">
        <f>+L51-Q51</f>
        <v>0</v>
      </c>
      <c r="W51" s="261"/>
      <c r="X51" s="262"/>
      <c r="Y51" s="159"/>
      <c r="Z51" s="159"/>
      <c r="AA51" s="159"/>
      <c r="AB51" s="159"/>
      <c r="AC51" s="159"/>
      <c r="AD51" s="159"/>
      <c r="AE51" s="159"/>
      <c r="AG51" s="75"/>
      <c r="AJ51" s="34"/>
    </row>
    <row r="52" spans="3:44" ht="15" customHeight="1" x14ac:dyDescent="0.15">
      <c r="C52" s="48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G52" s="75"/>
      <c r="AJ52" s="34"/>
    </row>
    <row r="53" spans="3:44" ht="15" customHeight="1" x14ac:dyDescent="0.15">
      <c r="C53" s="48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G53" s="75"/>
      <c r="AJ53" s="34"/>
    </row>
    <row r="54" spans="3:44" ht="15" customHeight="1" x14ac:dyDescent="0.15">
      <c r="C54" s="48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G54" s="75"/>
      <c r="AJ54" s="34"/>
      <c r="AK54" s="301" t="s">
        <v>159</v>
      </c>
      <c r="AL54" s="302"/>
      <c r="AM54" s="302"/>
      <c r="AN54" s="302"/>
      <c r="AO54" s="302"/>
      <c r="AP54" s="302"/>
      <c r="AQ54" s="302"/>
      <c r="AR54" s="302"/>
    </row>
    <row r="55" spans="3:44" ht="15" customHeight="1" x14ac:dyDescent="0.15">
      <c r="C55" s="48"/>
      <c r="E55" s="194" t="s">
        <v>59</v>
      </c>
      <c r="F55" s="159"/>
      <c r="G55" s="159"/>
      <c r="H55" s="159"/>
      <c r="I55" s="159"/>
      <c r="J55" s="159"/>
      <c r="K55" s="159"/>
      <c r="L55" s="159"/>
      <c r="M55" s="159"/>
      <c r="N55" s="173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G55" s="75"/>
      <c r="AJ55" s="34"/>
      <c r="AK55" s="302"/>
      <c r="AL55" s="302"/>
      <c r="AM55" s="302"/>
      <c r="AN55" s="302"/>
      <c r="AO55" s="302"/>
      <c r="AP55" s="302"/>
      <c r="AQ55" s="302"/>
      <c r="AR55" s="302"/>
    </row>
    <row r="56" spans="3:44" ht="15" customHeight="1" thickBot="1" x14ac:dyDescent="0.2">
      <c r="C56" s="48"/>
      <c r="E56" s="159"/>
      <c r="F56" s="303" t="s">
        <v>157</v>
      </c>
      <c r="G56" s="246"/>
      <c r="H56" s="246"/>
      <c r="I56" s="297"/>
      <c r="J56" s="159"/>
      <c r="K56" s="159"/>
      <c r="L56" s="160"/>
      <c r="M56" s="160" t="s">
        <v>194</v>
      </c>
      <c r="N56" s="160"/>
      <c r="O56" s="159"/>
      <c r="P56" s="159"/>
      <c r="Q56" s="179"/>
      <c r="R56" s="160" t="s">
        <v>158</v>
      </c>
      <c r="S56" s="164"/>
      <c r="T56" s="159"/>
      <c r="U56" s="159"/>
      <c r="V56" s="160"/>
      <c r="W56" s="160" t="s">
        <v>156</v>
      </c>
      <c r="X56" s="160"/>
      <c r="Y56" s="159"/>
      <c r="Z56" s="159"/>
      <c r="AA56" s="159"/>
      <c r="AB56" s="159"/>
      <c r="AC56" s="159"/>
      <c r="AD56" s="159"/>
      <c r="AE56" s="159"/>
      <c r="AG56" s="75"/>
      <c r="AH56" s="119"/>
      <c r="AI56" s="37" t="s">
        <v>69</v>
      </c>
      <c r="AJ56" s="37"/>
      <c r="AK56" s="64"/>
      <c r="AL56" s="119"/>
      <c r="AM56" s="37" t="s">
        <v>155</v>
      </c>
      <c r="AN56" s="37"/>
    </row>
    <row r="57" spans="3:44" ht="15" customHeight="1" thickTop="1" thickBot="1" x14ac:dyDescent="0.2">
      <c r="C57" s="48"/>
      <c r="E57" s="159"/>
      <c r="F57" s="246"/>
      <c r="G57" s="246"/>
      <c r="H57" s="246"/>
      <c r="I57" s="297"/>
      <c r="J57" s="159"/>
      <c r="K57" s="159"/>
      <c r="L57" s="247">
        <f>+V51</f>
        <v>0</v>
      </c>
      <c r="M57" s="248"/>
      <c r="N57" s="249"/>
      <c r="O57" s="304" t="s">
        <v>50</v>
      </c>
      <c r="P57" s="300"/>
      <c r="Q57" s="247">
        <f>+AL57</f>
        <v>0</v>
      </c>
      <c r="R57" s="250"/>
      <c r="S57" s="251"/>
      <c r="T57" s="299" t="s">
        <v>51</v>
      </c>
      <c r="U57" s="298"/>
      <c r="V57" s="260">
        <f>+L57+Q57</f>
        <v>0</v>
      </c>
      <c r="W57" s="261"/>
      <c r="X57" s="262"/>
      <c r="Y57" s="159"/>
      <c r="Z57" s="159"/>
      <c r="AA57" s="159"/>
      <c r="AB57" s="159"/>
      <c r="AC57" s="159"/>
      <c r="AD57" s="159"/>
      <c r="AE57" s="159"/>
      <c r="AG57" s="75"/>
      <c r="AH57" s="305">
        <f>IF(入力シート!C19=1,0,入力シート!E9)</f>
        <v>0</v>
      </c>
      <c r="AI57" s="306"/>
      <c r="AJ57" s="307"/>
      <c r="AL57" s="305">
        <f>ROUNDDOWN(AH57,0)</f>
        <v>0</v>
      </c>
      <c r="AM57" s="306"/>
      <c r="AN57" s="307"/>
    </row>
    <row r="58" spans="3:44" ht="15" customHeight="1" x14ac:dyDescent="0.15">
      <c r="C58" s="48"/>
      <c r="E58" s="159"/>
      <c r="F58" s="159"/>
      <c r="G58" s="159"/>
      <c r="H58" s="159"/>
      <c r="I58" s="173"/>
      <c r="J58" s="159"/>
      <c r="K58" s="159"/>
      <c r="L58" s="159"/>
      <c r="M58" s="186"/>
      <c r="N58" s="187"/>
      <c r="O58" s="187"/>
      <c r="P58" s="193"/>
      <c r="Q58" s="182"/>
      <c r="R58" s="182"/>
      <c r="S58" s="167"/>
      <c r="T58" s="159"/>
      <c r="U58" s="187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G58" s="75"/>
      <c r="AJ58" s="34"/>
    </row>
    <row r="59" spans="3:44" ht="15" customHeight="1" x14ac:dyDescent="0.15">
      <c r="C59" s="48"/>
      <c r="E59" s="159"/>
      <c r="F59" s="159"/>
      <c r="G59" s="159"/>
      <c r="H59" s="159"/>
      <c r="I59" s="173"/>
      <c r="J59" s="159"/>
      <c r="K59" s="159"/>
      <c r="L59" s="186"/>
      <c r="M59" s="187"/>
      <c r="N59" s="187"/>
      <c r="O59" s="193"/>
      <c r="P59" s="182"/>
      <c r="Q59" s="182"/>
      <c r="R59" s="167"/>
      <c r="S59" s="159"/>
      <c r="T59" s="187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G59" s="75"/>
      <c r="AJ59" s="34"/>
    </row>
    <row r="60" spans="3:44" ht="15" customHeight="1" x14ac:dyDescent="0.15">
      <c r="C60" s="48"/>
      <c r="E60" s="159"/>
      <c r="F60" s="159"/>
      <c r="G60" s="159"/>
      <c r="H60" s="159"/>
      <c r="I60" s="173"/>
      <c r="J60" s="159"/>
      <c r="K60" s="159"/>
      <c r="L60" s="186"/>
      <c r="M60" s="187"/>
      <c r="N60" s="187"/>
      <c r="O60" s="193"/>
      <c r="P60" s="182"/>
      <c r="Q60" s="182"/>
      <c r="R60" s="167"/>
      <c r="S60" s="159"/>
      <c r="T60" s="187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G60" s="75"/>
      <c r="AJ60" s="34"/>
    </row>
    <row r="61" spans="3:44" ht="15" customHeight="1" x14ac:dyDescent="0.15">
      <c r="C61" s="48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G61" s="75"/>
      <c r="AJ61" s="34"/>
    </row>
    <row r="62" spans="3:44" ht="15" customHeight="1" x14ac:dyDescent="0.15">
      <c r="C62" s="48"/>
      <c r="E62" s="159"/>
      <c r="F62" s="195" t="s">
        <v>71</v>
      </c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G62" s="75"/>
    </row>
    <row r="63" spans="3:44" ht="15" customHeight="1" x14ac:dyDescent="0.15">
      <c r="C63" s="48"/>
      <c r="AG63" s="75"/>
    </row>
    <row r="64" spans="3:44" ht="13.5" hidden="1" customHeight="1" x14ac:dyDescent="0.15">
      <c r="AJ64" s="34"/>
    </row>
    <row r="65" spans="6:36" ht="13.5" hidden="1" customHeight="1" thickBot="1" x14ac:dyDescent="0.2">
      <c r="G65" s="118" t="s">
        <v>144</v>
      </c>
      <c r="I65" s="35"/>
      <c r="J65" s="115"/>
      <c r="K65" s="116" t="s">
        <v>141</v>
      </c>
      <c r="L65" s="117"/>
      <c r="N65" s="115"/>
      <c r="O65" s="116" t="s">
        <v>142</v>
      </c>
      <c r="P65" s="117"/>
      <c r="Q65" s="114" t="s">
        <v>40</v>
      </c>
      <c r="R65" s="115"/>
      <c r="S65" s="116" t="s">
        <v>143</v>
      </c>
      <c r="T65" s="117"/>
      <c r="AI65" s="38" t="s">
        <v>68</v>
      </c>
      <c r="AJ65" s="34"/>
    </row>
    <row r="66" spans="6:36" ht="13.5" hidden="1" customHeight="1" thickBot="1" x14ac:dyDescent="0.2">
      <c r="I66" s="114" t="s">
        <v>145</v>
      </c>
      <c r="J66" s="308" t="e">
        <f>+S17-L47</f>
        <v>#DIV/0!</v>
      </c>
      <c r="K66" s="309"/>
      <c r="L66" s="310"/>
      <c r="N66" s="308" t="e">
        <f>+S17-L47+AH57/12</f>
        <v>#DIV/0!</v>
      </c>
      <c r="O66" s="309"/>
      <c r="P66" s="310"/>
      <c r="Q66" s="112"/>
      <c r="R66" s="308">
        <f>+L17-V47</f>
        <v>0</v>
      </c>
      <c r="S66" s="309"/>
      <c r="T66" s="310"/>
      <c r="AJ66" s="34"/>
    </row>
    <row r="67" spans="6:36" hidden="1" x14ac:dyDescent="0.15">
      <c r="I67" s="35"/>
      <c r="J67" s="34"/>
      <c r="K67" s="34"/>
      <c r="L67" s="113"/>
      <c r="M67" s="35"/>
      <c r="N67" s="113"/>
      <c r="O67" s="34"/>
      <c r="P67" s="34"/>
      <c r="Q67" s="34"/>
      <c r="AJ67" s="34"/>
    </row>
    <row r="68" spans="6:36" hidden="1" x14ac:dyDescent="0.15">
      <c r="I68" s="35"/>
      <c r="J68" s="34"/>
      <c r="K68" s="34"/>
      <c r="L68" s="100"/>
      <c r="M68" s="101"/>
      <c r="N68" s="101"/>
      <c r="O68" s="34"/>
      <c r="P68" s="34"/>
      <c r="Q68" s="34"/>
    </row>
    <row r="69" spans="6:36" hidden="1" x14ac:dyDescent="0.15">
      <c r="I69" s="35"/>
      <c r="J69" s="34"/>
      <c r="K69" s="34"/>
      <c r="M69" s="30"/>
      <c r="S69" s="30"/>
    </row>
    <row r="70" spans="6:36" hidden="1" x14ac:dyDescent="0.15">
      <c r="I70" s="30"/>
      <c r="M70" s="30"/>
      <c r="S70" s="30"/>
    </row>
    <row r="71" spans="6:36" hidden="1" x14ac:dyDescent="0.15">
      <c r="I71" s="30"/>
      <c r="M71" s="30"/>
      <c r="S71" s="30"/>
    </row>
    <row r="72" spans="6:36" hidden="1" x14ac:dyDescent="0.15">
      <c r="I72" s="30"/>
      <c r="M72" s="30"/>
      <c r="S72" s="30"/>
    </row>
    <row r="73" spans="6:36" hidden="1" x14ac:dyDescent="0.15"/>
    <row r="74" spans="6:36" hidden="1" x14ac:dyDescent="0.15">
      <c r="F74" s="38" t="s">
        <v>61</v>
      </c>
      <c r="G74" s="46"/>
      <c r="H74" s="46"/>
      <c r="I74" s="126"/>
      <c r="J74" s="45"/>
      <c r="K74" s="46"/>
      <c r="L74" s="126"/>
      <c r="M74" s="126" t="s">
        <v>41</v>
      </c>
      <c r="N74" s="126"/>
      <c r="O74" s="127"/>
      <c r="P74" s="127"/>
      <c r="Q74" s="126" t="s">
        <v>77</v>
      </c>
      <c r="R74" s="95"/>
      <c r="S74" s="126"/>
      <c r="T74" s="45"/>
      <c r="U74" s="126" t="s">
        <v>70</v>
      </c>
      <c r="V74" s="46"/>
      <c r="W74" s="126"/>
      <c r="X74" s="126"/>
      <c r="Y74" s="126" t="s">
        <v>79</v>
      </c>
      <c r="Z74" s="126"/>
      <c r="AA74" s="38"/>
      <c r="AB74" s="38"/>
    </row>
    <row r="75" spans="6:36" hidden="1" x14ac:dyDescent="0.15">
      <c r="F75" s="45"/>
      <c r="G75" s="38"/>
      <c r="H75" s="46"/>
      <c r="I75" s="126"/>
      <c r="J75" s="38"/>
      <c r="K75" s="40" t="s">
        <v>78</v>
      </c>
      <c r="L75" s="273">
        <f>+Z31</f>
        <v>0</v>
      </c>
      <c r="M75" s="274"/>
      <c r="N75" s="275"/>
      <c r="O75" s="52" t="s">
        <v>62</v>
      </c>
      <c r="P75" s="273">
        <f>+S17</f>
        <v>0</v>
      </c>
      <c r="Q75" s="274"/>
      <c r="R75" s="275"/>
      <c r="S75" s="52" t="s">
        <v>63</v>
      </c>
      <c r="T75" s="273">
        <f>+K31</f>
        <v>0</v>
      </c>
      <c r="U75" s="274"/>
      <c r="V75" s="275"/>
      <c r="W75" s="128" t="s">
        <v>51</v>
      </c>
      <c r="X75" s="273" t="e">
        <f>ROUND(AM31,2)</f>
        <v>#DIV/0!</v>
      </c>
      <c r="Y75" s="274"/>
      <c r="Z75" s="275"/>
      <c r="AA75" s="38"/>
      <c r="AB75" s="38"/>
    </row>
    <row r="76" spans="6:36" hidden="1" x14ac:dyDescent="0.15">
      <c r="F76" s="45"/>
      <c r="G76" s="38"/>
      <c r="H76" s="46"/>
      <c r="I76" s="126"/>
      <c r="J76" s="45"/>
      <c r="K76" s="46"/>
      <c r="L76" s="45"/>
      <c r="M76" s="46"/>
      <c r="N76" s="46"/>
      <c r="O76" s="38"/>
      <c r="P76" s="45"/>
      <c r="Q76" s="46"/>
      <c r="R76" s="46"/>
      <c r="S76" s="38"/>
      <c r="T76" s="45"/>
      <c r="U76" s="46"/>
      <c r="V76" s="46"/>
      <c r="W76" s="126"/>
      <c r="X76" s="45"/>
      <c r="Y76" s="105"/>
      <c r="Z76" s="46"/>
      <c r="AA76" s="38"/>
      <c r="AB76" s="38"/>
    </row>
    <row r="77" spans="6:36" hidden="1" x14ac:dyDescent="0.15"/>
    <row r="78" spans="6:36" hidden="1" x14ac:dyDescent="0.15"/>
  </sheetData>
  <sheetProtection password="CA9C" sheet="1" objects="1" scenarios="1" selectLockedCells="1"/>
  <mergeCells count="80">
    <mergeCell ref="X75:Z75"/>
    <mergeCell ref="AH2:AP5"/>
    <mergeCell ref="J66:L66"/>
    <mergeCell ref="N66:P66"/>
    <mergeCell ref="R66:T66"/>
    <mergeCell ref="L75:N75"/>
    <mergeCell ref="P75:R75"/>
    <mergeCell ref="T75:V75"/>
    <mergeCell ref="AK54:AR55"/>
    <mergeCell ref="V57:X57"/>
    <mergeCell ref="AH57:AJ57"/>
    <mergeCell ref="AL57:AN57"/>
    <mergeCell ref="AA39:AC39"/>
    <mergeCell ref="AH39:AJ39"/>
    <mergeCell ref="AP39:AR39"/>
    <mergeCell ref="AH31:AJ31"/>
    <mergeCell ref="F56:I57"/>
    <mergeCell ref="L57:N57"/>
    <mergeCell ref="O57:P57"/>
    <mergeCell ref="Q57:S57"/>
    <mergeCell ref="T57:U57"/>
    <mergeCell ref="AX47:AZ47"/>
    <mergeCell ref="L51:N51"/>
    <mergeCell ref="O51:P51"/>
    <mergeCell ref="Q51:S51"/>
    <mergeCell ref="T51:U51"/>
    <mergeCell ref="V51:X51"/>
    <mergeCell ref="AT39:AV39"/>
    <mergeCell ref="L47:N47"/>
    <mergeCell ref="V47:X47"/>
    <mergeCell ref="AH47:AJ47"/>
    <mergeCell ref="AL47:AN47"/>
    <mergeCell ref="AP47:AR47"/>
    <mergeCell ref="L39:N39"/>
    <mergeCell ref="O39:P39"/>
    <mergeCell ref="Q39:S39"/>
    <mergeCell ref="T39:U39"/>
    <mergeCell ref="V39:X39"/>
    <mergeCell ref="Y39:Z39"/>
    <mergeCell ref="AT47:AV47"/>
    <mergeCell ref="O47:U47"/>
    <mergeCell ref="AM31:AO31"/>
    <mergeCell ref="AH35:AJ35"/>
    <mergeCell ref="AL35:AN35"/>
    <mergeCell ref="AP35:AR35"/>
    <mergeCell ref="AT35:AV35"/>
    <mergeCell ref="AQ31:AS31"/>
    <mergeCell ref="AH20:AJ20"/>
    <mergeCell ref="G31:I31"/>
    <mergeCell ref="T31:V31"/>
    <mergeCell ref="W31:AA31"/>
    <mergeCell ref="AB31:AD31"/>
    <mergeCell ref="L23:N23"/>
    <mergeCell ref="P23:R23"/>
    <mergeCell ref="T23:V23"/>
    <mergeCell ref="X23:Z23"/>
    <mergeCell ref="L20:N20"/>
    <mergeCell ref="O20:R20"/>
    <mergeCell ref="S20:U20"/>
    <mergeCell ref="J31:L31"/>
    <mergeCell ref="M31:S31"/>
    <mergeCell ref="L17:N17"/>
    <mergeCell ref="O17:R17"/>
    <mergeCell ref="S17:U17"/>
    <mergeCell ref="AH17:AJ17"/>
    <mergeCell ref="AL17:AN17"/>
    <mergeCell ref="AL10:AN10"/>
    <mergeCell ref="L14:N14"/>
    <mergeCell ref="O14:R14"/>
    <mergeCell ref="S14:U14"/>
    <mergeCell ref="AH14:AJ14"/>
    <mergeCell ref="AL14:AN14"/>
    <mergeCell ref="AH10:AJ10"/>
    <mergeCell ref="F4:AD5"/>
    <mergeCell ref="H10:J10"/>
    <mergeCell ref="L10:N10"/>
    <mergeCell ref="P10:R10"/>
    <mergeCell ref="T10:V10"/>
    <mergeCell ref="W10:Y10"/>
    <mergeCell ref="AA10:AC10"/>
  </mergeCells>
  <phoneticPr fontId="2"/>
  <pageMargins left="0.7" right="0.7" top="0.75" bottom="0.75" header="0.3" footer="0.3"/>
  <pageSetup paperSize="9" scale="87" orientation="portrait" r:id="rId1"/>
  <colBreaks count="1" manualBreakCount="1">
    <brk id="31" max="4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P29"/>
  <sheetViews>
    <sheetView tabSelected="1" zoomScaleNormal="100" workbookViewId="0">
      <selection activeCell="E9" sqref="E9"/>
    </sheetView>
  </sheetViews>
  <sheetFormatPr defaultRowHeight="13.5" x14ac:dyDescent="0.15"/>
  <cols>
    <col min="1" max="1" width="2.75" style="30" customWidth="1"/>
    <col min="2" max="2" width="13.125" style="30" customWidth="1"/>
    <col min="3" max="3" width="10.375" style="30" customWidth="1"/>
    <col min="4" max="12" width="10.625" style="30" customWidth="1"/>
    <col min="13" max="13" width="9" style="30"/>
    <col min="14" max="16" width="0" style="30" hidden="1" customWidth="1"/>
    <col min="17" max="16384" width="9" style="30"/>
  </cols>
  <sheetData>
    <row r="1" spans="2:16" ht="19.5" thickBot="1" x14ac:dyDescent="0.2">
      <c r="B1" s="77" t="s">
        <v>72</v>
      </c>
      <c r="E1" s="67"/>
      <c r="F1" s="67"/>
    </row>
    <row r="2" spans="2:16" ht="14.25" thickTop="1" x14ac:dyDescent="0.15">
      <c r="B2" s="197"/>
      <c r="C2" s="198"/>
      <c r="D2" s="198"/>
      <c r="E2" s="199"/>
      <c r="F2" s="161"/>
      <c r="G2" s="198"/>
      <c r="H2" s="198"/>
      <c r="I2" s="198"/>
      <c r="J2" s="198"/>
      <c r="K2" s="198"/>
      <c r="L2" s="198"/>
      <c r="M2" s="200"/>
    </row>
    <row r="3" spans="2:16" x14ac:dyDescent="0.15">
      <c r="B3" s="201"/>
      <c r="C3" s="202" t="s">
        <v>81</v>
      </c>
      <c r="D3" s="161"/>
      <c r="E3" s="244"/>
      <c r="F3" s="161" t="s">
        <v>283</v>
      </c>
      <c r="G3" s="161"/>
      <c r="H3" s="161"/>
      <c r="I3" s="161"/>
      <c r="J3" s="161"/>
      <c r="K3" s="161"/>
      <c r="L3" s="161"/>
      <c r="M3" s="203"/>
    </row>
    <row r="4" spans="2:16" ht="14.25" thickBot="1" x14ac:dyDescent="0.2">
      <c r="B4" s="204" t="s">
        <v>40</v>
      </c>
      <c r="C4" s="159"/>
      <c r="D4" s="161"/>
      <c r="E4" s="205"/>
      <c r="F4" s="161"/>
      <c r="G4" s="161"/>
      <c r="H4" s="161"/>
      <c r="I4" s="161"/>
      <c r="J4" s="161"/>
      <c r="K4" s="161"/>
      <c r="L4" s="161"/>
      <c r="M4" s="203"/>
      <c r="O4" s="124" t="s">
        <v>171</v>
      </c>
      <c r="P4" s="65" t="s">
        <v>172</v>
      </c>
    </row>
    <row r="5" spans="2:16" s="31" customFormat="1" x14ac:dyDescent="0.15">
      <c r="B5" s="206" t="s">
        <v>55</v>
      </c>
      <c r="C5" s="207" t="s">
        <v>45</v>
      </c>
      <c r="D5" s="208" t="s">
        <v>1</v>
      </c>
      <c r="E5" s="209" t="s">
        <v>36</v>
      </c>
      <c r="F5" s="210" t="s">
        <v>39</v>
      </c>
      <c r="G5" s="210" t="s">
        <v>39</v>
      </c>
      <c r="H5" s="96" t="s">
        <v>39</v>
      </c>
      <c r="I5" s="96" t="s">
        <v>39</v>
      </c>
      <c r="J5" s="96" t="s">
        <v>39</v>
      </c>
      <c r="K5" s="96" t="s">
        <v>39</v>
      </c>
      <c r="L5" s="97" t="s">
        <v>39</v>
      </c>
      <c r="M5" s="235"/>
      <c r="N5" s="66">
        <f>SUM(E6:L6)</f>
        <v>0</v>
      </c>
    </row>
    <row r="6" spans="2:16" ht="14.25" thickBot="1" x14ac:dyDescent="0.2">
      <c r="B6" s="211">
        <f>+O6</f>
        <v>98000</v>
      </c>
      <c r="C6" s="212"/>
      <c r="D6" s="238">
        <v>98000</v>
      </c>
      <c r="E6" s="239">
        <v>0</v>
      </c>
      <c r="F6" s="239">
        <v>0</v>
      </c>
      <c r="G6" s="239">
        <v>0</v>
      </c>
      <c r="H6" s="98"/>
      <c r="I6" s="98"/>
      <c r="J6" s="98"/>
      <c r="K6" s="98"/>
      <c r="L6" s="99"/>
      <c r="M6" s="203"/>
      <c r="O6" s="66">
        <f>+D6+N5/12</f>
        <v>98000</v>
      </c>
      <c r="P6" s="36">
        <f>+O6/O18</f>
        <v>1</v>
      </c>
    </row>
    <row r="7" spans="2:16" ht="14.25" thickBot="1" x14ac:dyDescent="0.2">
      <c r="B7" s="213"/>
      <c r="C7" s="214"/>
      <c r="D7" s="215"/>
      <c r="E7" s="215" t="s">
        <v>40</v>
      </c>
      <c r="F7" s="215"/>
      <c r="G7" s="215"/>
      <c r="H7" s="161" t="s">
        <v>107</v>
      </c>
      <c r="I7" s="159"/>
      <c r="J7" s="161"/>
      <c r="K7" s="161"/>
      <c r="L7" s="161"/>
      <c r="M7" s="203"/>
      <c r="N7" s="66" t="s">
        <v>200</v>
      </c>
      <c r="O7" s="33"/>
      <c r="P7" s="33"/>
    </row>
    <row r="8" spans="2:16" x14ac:dyDescent="0.15">
      <c r="B8" s="216" t="s">
        <v>57</v>
      </c>
      <c r="C8" s="207" t="s">
        <v>42</v>
      </c>
      <c r="D8" s="217" t="s">
        <v>37</v>
      </c>
      <c r="E8" s="218" t="s">
        <v>158</v>
      </c>
      <c r="F8" s="134" t="s">
        <v>38</v>
      </c>
      <c r="G8" s="219" t="s">
        <v>158</v>
      </c>
      <c r="H8" s="159"/>
      <c r="I8" s="228" t="s">
        <v>146</v>
      </c>
      <c r="J8" s="161"/>
      <c r="K8" s="161"/>
      <c r="L8" s="161"/>
      <c r="M8" s="203"/>
      <c r="N8" s="33"/>
      <c r="O8" s="33"/>
      <c r="P8" s="33"/>
    </row>
    <row r="9" spans="2:16" ht="14.25" thickBot="1" x14ac:dyDescent="0.2">
      <c r="B9" s="211">
        <f>+O15</f>
        <v>0</v>
      </c>
      <c r="C9" s="212"/>
      <c r="D9" s="240">
        <v>0</v>
      </c>
      <c r="E9" s="241">
        <v>0</v>
      </c>
      <c r="F9" s="135">
        <f>+D9</f>
        <v>0</v>
      </c>
      <c r="G9" s="220">
        <f>ROUNDUP(E9,2)</f>
        <v>0</v>
      </c>
      <c r="H9" s="159"/>
      <c r="I9" s="159"/>
      <c r="J9" s="161"/>
      <c r="K9" s="161"/>
      <c r="L9" s="161"/>
      <c r="M9" s="203"/>
      <c r="N9" s="33" t="s">
        <v>169</v>
      </c>
      <c r="O9" s="66">
        <f>+F9/12</f>
        <v>0</v>
      </c>
      <c r="P9" s="36">
        <f>+O9/O18</f>
        <v>0</v>
      </c>
    </row>
    <row r="10" spans="2:16" ht="14.25" thickBot="1" x14ac:dyDescent="0.2">
      <c r="B10" s="213"/>
      <c r="C10" s="214"/>
      <c r="D10" s="215"/>
      <c r="E10" s="221" t="s">
        <v>202</v>
      </c>
      <c r="F10" s="215"/>
      <c r="G10" s="215"/>
      <c r="H10" s="199" t="s">
        <v>105</v>
      </c>
      <c r="I10" s="161"/>
      <c r="J10" s="161"/>
      <c r="K10" s="161"/>
      <c r="L10" s="161"/>
      <c r="M10" s="203"/>
      <c r="N10" s="33"/>
      <c r="O10" s="33"/>
      <c r="P10" s="33"/>
    </row>
    <row r="11" spans="2:16" x14ac:dyDescent="0.15">
      <c r="B11" s="216" t="s">
        <v>168</v>
      </c>
      <c r="C11" s="207" t="s">
        <v>167</v>
      </c>
      <c r="D11" s="222" t="s">
        <v>38</v>
      </c>
      <c r="E11" s="215"/>
      <c r="F11" s="215"/>
      <c r="G11" s="215"/>
      <c r="H11" s="199"/>
      <c r="I11" s="161"/>
      <c r="J11" s="161"/>
      <c r="K11" s="161"/>
      <c r="L11" s="161"/>
      <c r="M11" s="203"/>
      <c r="N11" s="33"/>
      <c r="O11" s="33"/>
      <c r="P11" s="33"/>
    </row>
    <row r="12" spans="2:16" ht="14.25" thickBot="1" x14ac:dyDescent="0.2">
      <c r="B12" s="211">
        <f>+D12/12</f>
        <v>0</v>
      </c>
      <c r="C12" s="212"/>
      <c r="D12" s="242">
        <v>0</v>
      </c>
      <c r="E12" s="215"/>
      <c r="F12" s="215"/>
      <c r="G12" s="215"/>
      <c r="H12" s="199"/>
      <c r="I12" s="161" t="s">
        <v>178</v>
      </c>
      <c r="J12" s="161"/>
      <c r="K12" s="161"/>
      <c r="L12" s="161"/>
      <c r="M12" s="203"/>
      <c r="N12" s="123" t="s">
        <v>170</v>
      </c>
      <c r="O12" s="123">
        <f>+D12/12</f>
        <v>0</v>
      </c>
      <c r="P12" s="36">
        <f>+O12/O18</f>
        <v>0</v>
      </c>
    </row>
    <row r="13" spans="2:16" ht="14.25" thickBot="1" x14ac:dyDescent="0.2">
      <c r="B13" s="213"/>
      <c r="C13" s="214"/>
      <c r="D13" s="215"/>
      <c r="E13" s="215"/>
      <c r="F13" s="215"/>
      <c r="G13" s="215"/>
      <c r="H13" s="199"/>
      <c r="I13" s="229" t="s">
        <v>179</v>
      </c>
      <c r="J13" s="230">
        <v>115</v>
      </c>
      <c r="K13" s="231">
        <v>117</v>
      </c>
      <c r="L13" s="161"/>
      <c r="M13" s="203"/>
      <c r="N13" s="33"/>
      <c r="O13" s="33"/>
      <c r="P13" s="33"/>
    </row>
    <row r="14" spans="2:16" s="31" customFormat="1" x14ac:dyDescent="0.15">
      <c r="B14" s="216" t="s">
        <v>56</v>
      </c>
      <c r="C14" s="207" t="s">
        <v>44</v>
      </c>
      <c r="D14" s="222" t="s">
        <v>38</v>
      </c>
      <c r="E14" s="223"/>
      <c r="F14" s="223"/>
      <c r="G14" s="223"/>
      <c r="H14" s="205"/>
      <c r="I14" s="232" t="s">
        <v>180</v>
      </c>
      <c r="J14" s="233">
        <v>12</v>
      </c>
      <c r="K14" s="234"/>
      <c r="L14" s="205"/>
      <c r="M14" s="235"/>
      <c r="N14" s="32"/>
      <c r="O14" s="32"/>
      <c r="P14" s="32"/>
    </row>
    <row r="15" spans="2:16" ht="14.25" thickBot="1" x14ac:dyDescent="0.2">
      <c r="B15" s="211">
        <f>+D15/12</f>
        <v>0</v>
      </c>
      <c r="C15" s="212"/>
      <c r="D15" s="242">
        <v>0</v>
      </c>
      <c r="E15" s="215"/>
      <c r="F15" s="215"/>
      <c r="G15" s="215"/>
      <c r="H15" s="236" t="s">
        <v>106</v>
      </c>
      <c r="I15" s="161"/>
      <c r="J15" s="161"/>
      <c r="K15" s="161"/>
      <c r="L15" s="161"/>
      <c r="M15" s="203"/>
      <c r="N15" s="66" t="s">
        <v>170</v>
      </c>
      <c r="O15" s="66">
        <f>+D15/12</f>
        <v>0</v>
      </c>
      <c r="P15" s="36">
        <f>+O15/O18</f>
        <v>0</v>
      </c>
    </row>
    <row r="16" spans="2:16" x14ac:dyDescent="0.15">
      <c r="B16" s="224"/>
      <c r="C16" s="161"/>
      <c r="D16" s="215"/>
      <c r="E16" s="215"/>
      <c r="F16" s="215"/>
      <c r="G16" s="215"/>
      <c r="H16" s="161"/>
      <c r="I16" s="196" t="s">
        <v>190</v>
      </c>
      <c r="J16" s="331" t="s">
        <v>280</v>
      </c>
      <c r="K16" s="332"/>
      <c r="L16" s="161"/>
      <c r="M16" s="203"/>
    </row>
    <row r="17" spans="2:15" ht="14.25" thickBot="1" x14ac:dyDescent="0.2">
      <c r="B17" s="224"/>
      <c r="C17" s="161"/>
      <c r="D17" s="161"/>
      <c r="E17" s="161"/>
      <c r="F17" s="161"/>
      <c r="G17" s="215"/>
      <c r="H17" s="161"/>
      <c r="I17" s="159"/>
      <c r="J17" s="159"/>
      <c r="K17" s="161"/>
      <c r="L17" s="161"/>
      <c r="M17" s="203"/>
    </row>
    <row r="18" spans="2:15" ht="14.25" thickTop="1" x14ac:dyDescent="0.15">
      <c r="B18" s="224"/>
      <c r="C18" s="225" t="s">
        <v>47</v>
      </c>
      <c r="D18" s="161" t="s">
        <v>48</v>
      </c>
      <c r="E18" s="161"/>
      <c r="F18" s="161"/>
      <c r="G18" s="161"/>
      <c r="H18" s="161"/>
      <c r="I18" s="159"/>
      <c r="J18" s="159"/>
      <c r="K18" s="161"/>
      <c r="L18" s="161"/>
      <c r="M18" s="203"/>
      <c r="N18" s="333" t="s">
        <v>199</v>
      </c>
      <c r="O18" s="330">
        <f>+O9+O12+O15+O6</f>
        <v>98000</v>
      </c>
    </row>
    <row r="19" spans="2:15" ht="14.25" thickBot="1" x14ac:dyDescent="0.2">
      <c r="B19" s="224"/>
      <c r="C19" s="243">
        <v>0</v>
      </c>
      <c r="D19" s="161" t="s">
        <v>46</v>
      </c>
      <c r="E19" s="161"/>
      <c r="F19" s="161"/>
      <c r="G19" s="161"/>
      <c r="H19" s="161"/>
      <c r="I19" s="161"/>
      <c r="J19" s="161"/>
      <c r="K19" s="161"/>
      <c r="L19" s="161"/>
      <c r="M19" s="203"/>
      <c r="N19" s="333"/>
      <c r="O19" s="330"/>
    </row>
    <row r="20" spans="2:15" ht="14.25" thickTop="1" x14ac:dyDescent="0.15">
      <c r="B20" s="224"/>
      <c r="C20" s="161"/>
      <c r="D20" s="161" t="s">
        <v>166</v>
      </c>
      <c r="E20" s="161"/>
      <c r="F20" s="161"/>
      <c r="G20" s="161"/>
      <c r="H20" s="161"/>
      <c r="I20" s="161"/>
      <c r="J20" s="161"/>
      <c r="K20" s="161"/>
      <c r="L20" s="161"/>
      <c r="M20" s="203"/>
      <c r="N20" s="333" t="s">
        <v>201</v>
      </c>
      <c r="O20" s="330">
        <f>+O18-280000</f>
        <v>-182000</v>
      </c>
    </row>
    <row r="21" spans="2:15" x14ac:dyDescent="0.15">
      <c r="B21" s="224"/>
      <c r="C21" s="205"/>
      <c r="D21" s="161" t="s">
        <v>49</v>
      </c>
      <c r="E21" s="205"/>
      <c r="F21" s="161"/>
      <c r="G21" s="161"/>
      <c r="H21" s="161"/>
      <c r="I21" s="161"/>
      <c r="J21" s="161"/>
      <c r="K21" s="161"/>
      <c r="L21" s="161"/>
      <c r="M21" s="203"/>
      <c r="N21" s="333"/>
      <c r="O21" s="330"/>
    </row>
    <row r="22" spans="2:15" x14ac:dyDescent="0.15">
      <c r="B22" s="224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203"/>
    </row>
    <row r="23" spans="2:15" ht="14.25" thickBot="1" x14ac:dyDescent="0.2">
      <c r="B23" s="226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37"/>
    </row>
    <row r="24" spans="2:15" ht="14.25" thickTop="1" x14ac:dyDescent="0.15"/>
    <row r="25" spans="2:15" ht="14.25" thickBot="1" x14ac:dyDescent="0.2"/>
    <row r="26" spans="2:15" x14ac:dyDescent="0.15">
      <c r="B26" s="326" t="s">
        <v>221</v>
      </c>
      <c r="C26" s="327"/>
      <c r="D26" s="149">
        <v>280000</v>
      </c>
    </row>
    <row r="27" spans="2:15" ht="14.25" thickBot="1" x14ac:dyDescent="0.2">
      <c r="B27" s="328" t="s">
        <v>222</v>
      </c>
      <c r="C27" s="329"/>
      <c r="D27" s="143">
        <v>470000</v>
      </c>
    </row>
    <row r="29" spans="2:15" x14ac:dyDescent="0.15">
      <c r="E29" s="53"/>
    </row>
  </sheetData>
  <sheetProtection sheet="1" objects="1" scenarios="1" selectLockedCells="1"/>
  <protectedRanges>
    <protectedRange sqref="D6:G6 D9 E9 D12 D15" name="範囲1"/>
  </protectedRanges>
  <mergeCells count="7">
    <mergeCell ref="B26:C26"/>
    <mergeCell ref="B27:C27"/>
    <mergeCell ref="O18:O19"/>
    <mergeCell ref="J16:K16"/>
    <mergeCell ref="N18:N19"/>
    <mergeCell ref="N20:N21"/>
    <mergeCell ref="O20:O21"/>
  </mergeCells>
  <phoneticPr fontId="2"/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Sheet2!$C$2:$C$32</xm:f>
          </x14:formula1>
          <xm:sqref>D6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31"/>
  <sheetViews>
    <sheetView workbookViewId="0">
      <selection activeCell="K33" sqref="K33"/>
    </sheetView>
  </sheetViews>
  <sheetFormatPr defaultRowHeight="13.5" x14ac:dyDescent="0.15"/>
  <cols>
    <col min="5" max="15" width="3.625" customWidth="1"/>
    <col min="16" max="16" width="9" customWidth="1"/>
    <col min="17" max="31" width="3.625" customWidth="1"/>
  </cols>
  <sheetData>
    <row r="2" spans="2:26" ht="14.25" thickBot="1" x14ac:dyDescent="0.2"/>
    <row r="3" spans="2:26" ht="14.25" thickBot="1" x14ac:dyDescent="0.2">
      <c r="B3" s="144">
        <f>+入力シート!D27</f>
        <v>470000</v>
      </c>
      <c r="C3">
        <v>1</v>
      </c>
      <c r="D3" s="137" t="s">
        <v>214</v>
      </c>
      <c r="E3" s="138" t="str">
        <f>VLOOKUP($B$3,D4:E9,2,0)</f>
        <v>注）賃金のみで47万円超は別シート</v>
      </c>
      <c r="F3" s="138"/>
      <c r="G3" s="138"/>
      <c r="H3" s="138"/>
      <c r="I3" s="138"/>
      <c r="J3" s="138"/>
      <c r="K3" s="138"/>
      <c r="L3" s="138"/>
      <c r="M3" s="139"/>
      <c r="O3">
        <v>2</v>
      </c>
      <c r="P3" s="137" t="s">
        <v>214</v>
      </c>
      <c r="Q3" s="138" t="str">
        <f>VLOOKUP(B3,P4:Q9,2,0)</f>
        <v>賃金のみで47万円超の場合</v>
      </c>
      <c r="R3" s="138"/>
      <c r="S3" s="138"/>
      <c r="T3" s="138"/>
      <c r="U3" s="138"/>
      <c r="V3" s="138"/>
      <c r="W3" s="138"/>
      <c r="X3" s="138"/>
      <c r="Y3" s="139"/>
    </row>
    <row r="4" spans="2:26" x14ac:dyDescent="0.15">
      <c r="D4" s="29">
        <v>450000</v>
      </c>
      <c r="E4" t="s">
        <v>213</v>
      </c>
      <c r="P4" s="29">
        <v>450000</v>
      </c>
      <c r="Q4" t="s">
        <v>257</v>
      </c>
    </row>
    <row r="5" spans="2:26" x14ac:dyDescent="0.15">
      <c r="D5" s="29">
        <v>460000</v>
      </c>
      <c r="E5" t="s">
        <v>208</v>
      </c>
      <c r="P5" s="29">
        <v>460000</v>
      </c>
      <c r="Q5" t="s">
        <v>258</v>
      </c>
    </row>
    <row r="6" spans="2:26" x14ac:dyDescent="0.15">
      <c r="D6" s="29">
        <v>470000</v>
      </c>
      <c r="E6" t="s">
        <v>209</v>
      </c>
      <c r="P6" s="29">
        <v>470000</v>
      </c>
      <c r="Q6" t="s">
        <v>259</v>
      </c>
    </row>
    <row r="7" spans="2:26" x14ac:dyDescent="0.15">
      <c r="D7" s="29">
        <v>480000</v>
      </c>
      <c r="E7" t="s">
        <v>210</v>
      </c>
      <c r="P7" s="29">
        <v>480000</v>
      </c>
      <c r="Q7" t="s">
        <v>260</v>
      </c>
    </row>
    <row r="8" spans="2:26" x14ac:dyDescent="0.15">
      <c r="D8" s="29">
        <v>490000</v>
      </c>
      <c r="E8" t="s">
        <v>211</v>
      </c>
      <c r="P8" s="29">
        <v>490000</v>
      </c>
      <c r="Q8" t="s">
        <v>261</v>
      </c>
    </row>
    <row r="9" spans="2:26" x14ac:dyDescent="0.15">
      <c r="D9" s="29">
        <v>500000</v>
      </c>
      <c r="E9" t="s">
        <v>212</v>
      </c>
      <c r="P9" s="29">
        <v>500000</v>
      </c>
      <c r="Q9" t="s">
        <v>262</v>
      </c>
    </row>
    <row r="11" spans="2:26" ht="14.25" thickBot="1" x14ac:dyDescent="0.2"/>
    <row r="12" spans="2:26" ht="14.25" thickBot="1" x14ac:dyDescent="0.2">
      <c r="C12">
        <v>3</v>
      </c>
      <c r="D12" s="137" t="s">
        <v>214</v>
      </c>
      <c r="E12" s="343" t="str">
        <f>VLOOKUP($B$3,D13:N18,2,0)</f>
        <v>＋  ４７万円　－　２８万円 〕  ×  １／２　＋ 〔</v>
      </c>
      <c r="F12" s="344"/>
      <c r="G12" s="344"/>
      <c r="H12" s="344"/>
      <c r="I12" s="344"/>
      <c r="J12" s="343">
        <f>VLOOKUP($B$3,D13:N18,7,0)</f>
        <v>0</v>
      </c>
      <c r="K12" s="344"/>
      <c r="L12" s="344"/>
      <c r="M12" s="344"/>
      <c r="N12" s="345"/>
      <c r="O12">
        <v>4</v>
      </c>
      <c r="P12" s="137" t="s">
        <v>214</v>
      </c>
      <c r="Q12" s="156" t="str">
        <f>VLOOKUP($B$3,P13:Q18,2,0)</f>
        <v>－  ４７万円 〕  ＝</v>
      </c>
      <c r="R12" s="157"/>
      <c r="S12" s="157"/>
      <c r="T12" s="157"/>
      <c r="U12" s="157"/>
      <c r="V12" s="343" t="str">
        <f>VLOOKUP($B$3,P13:Z18,7,0)</f>
        <v>４７万円</v>
      </c>
      <c r="W12" s="344"/>
      <c r="X12" s="344"/>
      <c r="Y12" s="344"/>
      <c r="Z12" s="345"/>
    </row>
    <row r="13" spans="2:26" x14ac:dyDescent="0.15">
      <c r="D13" s="29">
        <v>450000</v>
      </c>
      <c r="E13" s="341" t="s">
        <v>233</v>
      </c>
      <c r="F13" s="342"/>
      <c r="G13" s="342"/>
      <c r="H13" s="342"/>
      <c r="I13" s="346"/>
      <c r="J13" s="341"/>
      <c r="K13" s="342"/>
      <c r="L13" s="342"/>
      <c r="M13" s="342"/>
      <c r="N13" s="342"/>
      <c r="P13" s="29">
        <v>450000</v>
      </c>
      <c r="Q13" s="334" t="s">
        <v>215</v>
      </c>
      <c r="R13" s="335"/>
      <c r="S13" s="335"/>
      <c r="T13" s="335"/>
      <c r="U13" s="335"/>
      <c r="V13" s="334" t="s">
        <v>270</v>
      </c>
      <c r="W13" s="335"/>
      <c r="X13" s="335"/>
      <c r="Y13" s="335"/>
      <c r="Z13" s="335"/>
    </row>
    <row r="14" spans="2:26" x14ac:dyDescent="0.15">
      <c r="D14" s="29">
        <v>460000</v>
      </c>
      <c r="E14" s="337" t="s">
        <v>204</v>
      </c>
      <c r="F14" s="339"/>
      <c r="G14" s="339"/>
      <c r="H14" s="339"/>
      <c r="I14" s="340"/>
      <c r="J14" s="337"/>
      <c r="K14" s="339"/>
      <c r="L14" s="339"/>
      <c r="M14" s="339"/>
      <c r="N14" s="339"/>
      <c r="P14" s="29">
        <v>460000</v>
      </c>
      <c r="Q14" s="334" t="s">
        <v>216</v>
      </c>
      <c r="R14" s="335"/>
      <c r="S14" s="335"/>
      <c r="T14" s="335"/>
      <c r="U14" s="335"/>
      <c r="V14" s="334" t="s">
        <v>271</v>
      </c>
      <c r="W14" s="335"/>
      <c r="X14" s="335"/>
      <c r="Y14" s="335"/>
      <c r="Z14" s="335"/>
    </row>
    <row r="15" spans="2:26" x14ac:dyDescent="0.15">
      <c r="D15" s="29">
        <v>470000</v>
      </c>
      <c r="E15" s="337" t="s">
        <v>176</v>
      </c>
      <c r="F15" s="339"/>
      <c r="G15" s="339"/>
      <c r="H15" s="339"/>
      <c r="I15" s="340"/>
      <c r="J15" s="337"/>
      <c r="K15" s="339"/>
      <c r="L15" s="339"/>
      <c r="M15" s="339"/>
      <c r="N15" s="339"/>
      <c r="P15" s="29">
        <v>470000</v>
      </c>
      <c r="Q15" s="334" t="s">
        <v>177</v>
      </c>
      <c r="R15" s="335"/>
      <c r="S15" s="335"/>
      <c r="T15" s="335"/>
      <c r="U15" s="335"/>
      <c r="V15" s="334" t="s">
        <v>272</v>
      </c>
      <c r="W15" s="335"/>
      <c r="X15" s="335"/>
      <c r="Y15" s="335"/>
      <c r="Z15" s="335"/>
    </row>
    <row r="16" spans="2:26" x14ac:dyDescent="0.15">
      <c r="D16" s="29">
        <v>480000</v>
      </c>
      <c r="E16" s="337" t="s">
        <v>205</v>
      </c>
      <c r="F16" s="339"/>
      <c r="G16" s="339"/>
      <c r="H16" s="339"/>
      <c r="I16" s="340"/>
      <c r="J16" s="337"/>
      <c r="K16" s="339"/>
      <c r="L16" s="339"/>
      <c r="M16" s="339"/>
      <c r="N16" s="339"/>
      <c r="P16" s="29">
        <v>480000</v>
      </c>
      <c r="Q16" s="334" t="s">
        <v>217</v>
      </c>
      <c r="R16" s="335"/>
      <c r="S16" s="335"/>
      <c r="T16" s="335"/>
      <c r="U16" s="335"/>
      <c r="V16" s="334" t="s">
        <v>273</v>
      </c>
      <c r="W16" s="335"/>
      <c r="X16" s="335"/>
      <c r="Y16" s="335"/>
      <c r="Z16" s="335"/>
    </row>
    <row r="17" spans="2:26" x14ac:dyDescent="0.15">
      <c r="D17" s="29">
        <v>490000</v>
      </c>
      <c r="E17" s="337" t="s">
        <v>206</v>
      </c>
      <c r="F17" s="339"/>
      <c r="G17" s="339"/>
      <c r="H17" s="339"/>
      <c r="I17" s="340"/>
      <c r="J17" s="337"/>
      <c r="K17" s="339"/>
      <c r="L17" s="339"/>
      <c r="M17" s="339"/>
      <c r="N17" s="339"/>
      <c r="P17" s="29">
        <v>490000</v>
      </c>
      <c r="Q17" s="334" t="s">
        <v>218</v>
      </c>
      <c r="R17" s="335"/>
      <c r="S17" s="335"/>
      <c r="T17" s="335"/>
      <c r="U17" s="335"/>
      <c r="V17" s="334" t="s">
        <v>274</v>
      </c>
      <c r="W17" s="335"/>
      <c r="X17" s="335"/>
      <c r="Y17" s="335"/>
      <c r="Z17" s="335"/>
    </row>
    <row r="18" spans="2:26" x14ac:dyDescent="0.15">
      <c r="D18" s="29">
        <v>500000</v>
      </c>
      <c r="E18" s="337" t="s">
        <v>207</v>
      </c>
      <c r="F18" s="339"/>
      <c r="G18" s="339"/>
      <c r="H18" s="339"/>
      <c r="I18" s="340"/>
      <c r="J18" s="337"/>
      <c r="K18" s="339"/>
      <c r="L18" s="339"/>
      <c r="M18" s="339"/>
      <c r="N18" s="339"/>
      <c r="P18" s="29">
        <v>500000</v>
      </c>
      <c r="Q18" s="334" t="s">
        <v>219</v>
      </c>
      <c r="R18" s="335"/>
      <c r="S18" s="335"/>
      <c r="T18" s="335"/>
      <c r="U18" s="335"/>
      <c r="V18" s="334" t="s">
        <v>275</v>
      </c>
      <c r="W18" s="335"/>
      <c r="X18" s="335"/>
      <c r="Y18" s="335"/>
      <c r="Z18" s="335"/>
    </row>
    <row r="19" spans="2:26" x14ac:dyDescent="0.15">
      <c r="J19" s="152"/>
      <c r="K19" s="152"/>
      <c r="L19" s="152"/>
      <c r="M19" s="152"/>
      <c r="N19" s="152"/>
    </row>
    <row r="20" spans="2:26" x14ac:dyDescent="0.15">
      <c r="J20" s="152"/>
      <c r="K20" s="152"/>
      <c r="L20" s="152"/>
      <c r="M20" s="152"/>
      <c r="N20" s="152"/>
    </row>
    <row r="21" spans="2:26" x14ac:dyDescent="0.15">
      <c r="J21" s="152"/>
      <c r="K21" s="152"/>
      <c r="L21" s="152"/>
      <c r="M21" s="152"/>
      <c r="N21" s="152"/>
    </row>
    <row r="22" spans="2:26" x14ac:dyDescent="0.15">
      <c r="D22" s="154"/>
      <c r="J22" s="150"/>
      <c r="K22" s="150"/>
      <c r="L22" s="150"/>
      <c r="M22" s="151"/>
      <c r="N22" s="153"/>
    </row>
    <row r="23" spans="2:26" x14ac:dyDescent="0.15">
      <c r="J23" s="150"/>
      <c r="K23" s="150"/>
      <c r="L23" s="150"/>
      <c r="M23" s="151"/>
      <c r="N23" s="153"/>
    </row>
    <row r="24" spans="2:26" ht="14.25" thickBot="1" x14ac:dyDescent="0.2">
      <c r="J24" s="150"/>
      <c r="K24" s="150"/>
      <c r="L24" s="150"/>
      <c r="M24" s="151"/>
      <c r="N24" s="155"/>
    </row>
    <row r="25" spans="2:26" ht="14.25" thickBot="1" x14ac:dyDescent="0.2">
      <c r="B25" s="144">
        <f>+入力シート!D26</f>
        <v>280000</v>
      </c>
      <c r="C25">
        <v>5</v>
      </c>
      <c r="D25" s="137" t="s">
        <v>214</v>
      </c>
      <c r="E25" s="343" t="str">
        <f>VLOOKUP($B$25,$D26:$E31,2,0)</f>
        <v>２８万円〕  ×  １／２</v>
      </c>
      <c r="F25" s="344"/>
      <c r="G25" s="344"/>
      <c r="H25" s="344"/>
      <c r="I25" s="344"/>
      <c r="J25" s="343" t="str">
        <f>VLOOKUP($B$25,D26:N31,7,0)</f>
        <v>－　２８万円 〕  ×  １／２　＋ 〔</v>
      </c>
      <c r="K25" s="344"/>
      <c r="L25" s="344"/>
      <c r="M25" s="344"/>
      <c r="N25" s="344"/>
      <c r="O25">
        <v>6</v>
      </c>
      <c r="P25" s="137" t="s">
        <v>214</v>
      </c>
      <c r="Q25" s="343" t="str">
        <f>VLOOKUP($B$25,$P26:$Z31,2,0)</f>
        <v>２８万円</v>
      </c>
      <c r="R25" s="344"/>
      <c r="S25" s="344"/>
      <c r="T25" s="344"/>
      <c r="U25" s="344"/>
      <c r="V25" s="157"/>
      <c r="W25" s="157"/>
      <c r="X25" s="157"/>
      <c r="Y25" s="157"/>
      <c r="Z25" s="158"/>
    </row>
    <row r="26" spans="2:26" x14ac:dyDescent="0.15">
      <c r="D26" s="29">
        <v>260000</v>
      </c>
      <c r="E26" s="336" t="s">
        <v>228</v>
      </c>
      <c r="F26" s="335"/>
      <c r="G26" s="335"/>
      <c r="H26" s="335"/>
      <c r="I26" s="335"/>
      <c r="J26" s="341" t="s">
        <v>235</v>
      </c>
      <c r="K26" s="342"/>
      <c r="L26" s="342"/>
      <c r="M26" s="342"/>
      <c r="N26" s="342"/>
      <c r="P26" s="29">
        <v>260000</v>
      </c>
      <c r="Q26" s="336" t="s">
        <v>263</v>
      </c>
      <c r="R26" s="335"/>
      <c r="S26" s="335"/>
      <c r="T26" s="335"/>
      <c r="U26" s="335"/>
      <c r="V26" s="334"/>
      <c r="W26" s="335"/>
      <c r="X26" s="335"/>
      <c r="Y26" s="335"/>
      <c r="Z26" s="335"/>
    </row>
    <row r="27" spans="2:26" x14ac:dyDescent="0.15">
      <c r="D27" s="29">
        <v>270000</v>
      </c>
      <c r="E27" s="336" t="s">
        <v>229</v>
      </c>
      <c r="F27" s="335"/>
      <c r="G27" s="335"/>
      <c r="H27" s="335"/>
      <c r="I27" s="335"/>
      <c r="J27" s="337" t="s">
        <v>236</v>
      </c>
      <c r="K27" s="338"/>
      <c r="L27" s="338"/>
      <c r="M27" s="338"/>
      <c r="N27" s="338"/>
      <c r="P27" s="29">
        <v>270000</v>
      </c>
      <c r="Q27" s="336" t="s">
        <v>264</v>
      </c>
      <c r="R27" s="335"/>
      <c r="S27" s="335"/>
      <c r="T27" s="335"/>
      <c r="U27" s="335"/>
      <c r="V27" s="334"/>
      <c r="W27" s="335"/>
      <c r="X27" s="335"/>
      <c r="Y27" s="335"/>
      <c r="Z27" s="335"/>
    </row>
    <row r="28" spans="2:26" x14ac:dyDescent="0.15">
      <c r="D28" s="29">
        <v>280000</v>
      </c>
      <c r="E28" s="336" t="s">
        <v>60</v>
      </c>
      <c r="F28" s="335"/>
      <c r="G28" s="335"/>
      <c r="H28" s="335"/>
      <c r="I28" s="335"/>
      <c r="J28" s="337" t="s">
        <v>234</v>
      </c>
      <c r="K28" s="338"/>
      <c r="L28" s="338"/>
      <c r="M28" s="338"/>
      <c r="N28" s="338"/>
      <c r="P28" s="29">
        <v>280000</v>
      </c>
      <c r="Q28" s="336" t="s">
        <v>52</v>
      </c>
      <c r="R28" s="335"/>
      <c r="S28" s="335"/>
      <c r="T28" s="335"/>
      <c r="U28" s="335"/>
      <c r="V28" s="334"/>
      <c r="W28" s="335"/>
      <c r="X28" s="335"/>
      <c r="Y28" s="335"/>
      <c r="Z28" s="335"/>
    </row>
    <row r="29" spans="2:26" x14ac:dyDescent="0.15">
      <c r="D29" s="29">
        <v>290000</v>
      </c>
      <c r="E29" s="336" t="s">
        <v>230</v>
      </c>
      <c r="F29" s="335"/>
      <c r="G29" s="335"/>
      <c r="H29" s="335"/>
      <c r="I29" s="335"/>
      <c r="J29" s="337" t="s">
        <v>237</v>
      </c>
      <c r="K29" s="338"/>
      <c r="L29" s="338"/>
      <c r="M29" s="338"/>
      <c r="N29" s="338"/>
      <c r="P29" s="29">
        <v>290000</v>
      </c>
      <c r="Q29" s="336" t="s">
        <v>265</v>
      </c>
      <c r="R29" s="335"/>
      <c r="S29" s="335"/>
      <c r="T29" s="335"/>
      <c r="U29" s="335"/>
      <c r="V29" s="334"/>
      <c r="W29" s="335"/>
      <c r="X29" s="335"/>
      <c r="Y29" s="335"/>
      <c r="Z29" s="335"/>
    </row>
    <row r="30" spans="2:26" x14ac:dyDescent="0.15">
      <c r="D30" s="29">
        <v>300000</v>
      </c>
      <c r="E30" s="336" t="s">
        <v>231</v>
      </c>
      <c r="F30" s="335"/>
      <c r="G30" s="335"/>
      <c r="H30" s="335"/>
      <c r="I30" s="335"/>
      <c r="J30" s="337" t="s">
        <v>238</v>
      </c>
      <c r="K30" s="338"/>
      <c r="L30" s="338"/>
      <c r="M30" s="338"/>
      <c r="N30" s="338"/>
      <c r="P30" s="29">
        <v>300000</v>
      </c>
      <c r="Q30" s="336" t="s">
        <v>266</v>
      </c>
      <c r="R30" s="335"/>
      <c r="S30" s="335"/>
      <c r="T30" s="335"/>
      <c r="U30" s="335"/>
      <c r="V30" s="334"/>
      <c r="W30" s="335"/>
      <c r="X30" s="335"/>
      <c r="Y30" s="335"/>
      <c r="Z30" s="335"/>
    </row>
    <row r="31" spans="2:26" x14ac:dyDescent="0.15">
      <c r="D31" s="29">
        <v>310000</v>
      </c>
      <c r="E31" s="336" t="s">
        <v>232</v>
      </c>
      <c r="F31" s="335"/>
      <c r="G31" s="335"/>
      <c r="H31" s="335"/>
      <c r="I31" s="335"/>
      <c r="J31" s="337" t="s">
        <v>239</v>
      </c>
      <c r="K31" s="338"/>
      <c r="L31" s="338"/>
      <c r="M31" s="338"/>
      <c r="N31" s="338"/>
      <c r="P31" s="29">
        <v>310000</v>
      </c>
      <c r="Q31" s="336" t="s">
        <v>267</v>
      </c>
      <c r="R31" s="335"/>
      <c r="S31" s="335"/>
      <c r="T31" s="335"/>
      <c r="U31" s="335"/>
      <c r="V31" s="334"/>
      <c r="W31" s="335"/>
      <c r="X31" s="335"/>
      <c r="Y31" s="335"/>
      <c r="Z31" s="335"/>
    </row>
  </sheetData>
  <mergeCells count="54">
    <mergeCell ref="V12:Z12"/>
    <mergeCell ref="E12:I12"/>
    <mergeCell ref="J12:N12"/>
    <mergeCell ref="E15:I15"/>
    <mergeCell ref="J15:N15"/>
    <mergeCell ref="Q13:U13"/>
    <mergeCell ref="V13:Z13"/>
    <mergeCell ref="Q14:U14"/>
    <mergeCell ref="V14:Z14"/>
    <mergeCell ref="Q15:U15"/>
    <mergeCell ref="V15:Z15"/>
    <mergeCell ref="E13:I13"/>
    <mergeCell ref="J13:N13"/>
    <mergeCell ref="J14:N14"/>
    <mergeCell ref="E14:I14"/>
    <mergeCell ref="J16:N16"/>
    <mergeCell ref="E16:I16"/>
    <mergeCell ref="E17:I17"/>
    <mergeCell ref="J17:N17"/>
    <mergeCell ref="Q31:U31"/>
    <mergeCell ref="E26:I26"/>
    <mergeCell ref="J26:N26"/>
    <mergeCell ref="E25:I25"/>
    <mergeCell ref="J25:N25"/>
    <mergeCell ref="Q25:U25"/>
    <mergeCell ref="E18:I18"/>
    <mergeCell ref="J18:N18"/>
    <mergeCell ref="Q16:U16"/>
    <mergeCell ref="E27:I27"/>
    <mergeCell ref="J27:N27"/>
    <mergeCell ref="Q27:U27"/>
    <mergeCell ref="V31:Z31"/>
    <mergeCell ref="E28:I28"/>
    <mergeCell ref="J28:N28"/>
    <mergeCell ref="E29:I29"/>
    <mergeCell ref="J29:N29"/>
    <mergeCell ref="E30:I30"/>
    <mergeCell ref="J30:N30"/>
    <mergeCell ref="E31:I31"/>
    <mergeCell ref="J31:N31"/>
    <mergeCell ref="Q29:U29"/>
    <mergeCell ref="V29:Z29"/>
    <mergeCell ref="Q30:U30"/>
    <mergeCell ref="V30:Z30"/>
    <mergeCell ref="Q26:U26"/>
    <mergeCell ref="V26:Z26"/>
    <mergeCell ref="V27:Z27"/>
    <mergeCell ref="Q28:U28"/>
    <mergeCell ref="V28:Z28"/>
    <mergeCell ref="V16:Z16"/>
    <mergeCell ref="Q17:U17"/>
    <mergeCell ref="V17:Z17"/>
    <mergeCell ref="Q18:U18"/>
    <mergeCell ref="V18:Z18"/>
  </mergeCells>
  <phoneticPr fontId="2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29"/>
  <sheetViews>
    <sheetView workbookViewId="0">
      <selection activeCell="K33" sqref="K33"/>
    </sheetView>
  </sheetViews>
  <sheetFormatPr defaultRowHeight="13.5" x14ac:dyDescent="0.15"/>
  <cols>
    <col min="5" max="15" width="3.625" customWidth="1"/>
    <col min="16" max="16" width="9" customWidth="1"/>
    <col min="17" max="31" width="3.625" customWidth="1"/>
  </cols>
  <sheetData>
    <row r="2" spans="2:26" ht="14.25" thickBot="1" x14ac:dyDescent="0.2"/>
    <row r="3" spans="2:26" ht="14.25" thickBot="1" x14ac:dyDescent="0.2">
      <c r="B3" s="144">
        <f>+入力シート!D27</f>
        <v>470000</v>
      </c>
      <c r="C3">
        <v>1</v>
      </c>
      <c r="D3" s="137" t="s">
        <v>214</v>
      </c>
      <c r="E3" s="343" t="str">
        <f>VLOOKUP($B$3,D4:E9,2,0)</f>
        <v>＋  ５６４万円</v>
      </c>
      <c r="F3" s="344"/>
      <c r="G3" s="344"/>
      <c r="H3" s="344"/>
      <c r="I3" s="344"/>
      <c r="J3" s="344"/>
      <c r="K3" s="344"/>
      <c r="L3" s="344"/>
      <c r="M3" s="344"/>
      <c r="N3" s="345"/>
      <c r="O3">
        <v>2</v>
      </c>
      <c r="P3" s="137" t="s">
        <v>214</v>
      </c>
      <c r="Q3" s="343" t="str">
        <f>VLOOKUP($B$3,P4:Q9,2,0)</f>
        <v>－  ５６４万円 〕  ＝</v>
      </c>
      <c r="R3" s="344"/>
      <c r="S3" s="344"/>
      <c r="T3" s="344"/>
      <c r="U3" s="344"/>
      <c r="V3" s="344"/>
      <c r="W3" s="344"/>
      <c r="X3" s="344"/>
      <c r="Y3" s="344"/>
      <c r="Z3" s="345"/>
    </row>
    <row r="4" spans="2:26" x14ac:dyDescent="0.15">
      <c r="D4" s="29">
        <v>450000</v>
      </c>
      <c r="E4" s="347" t="s">
        <v>245</v>
      </c>
      <c r="F4" s="339"/>
      <c r="G4" s="339"/>
      <c r="H4" s="339"/>
      <c r="I4" s="339"/>
      <c r="J4" s="339"/>
      <c r="K4" s="339"/>
      <c r="L4" s="339"/>
      <c r="M4" s="338"/>
      <c r="N4" s="348"/>
      <c r="P4" s="29">
        <v>450000</v>
      </c>
      <c r="Q4" s="334" t="s">
        <v>223</v>
      </c>
      <c r="R4" s="335"/>
      <c r="S4" s="335"/>
      <c r="T4" s="335"/>
      <c r="U4" s="335"/>
      <c r="V4" s="334"/>
      <c r="W4" s="335"/>
      <c r="X4" s="335"/>
      <c r="Y4" s="335"/>
      <c r="Z4" s="335"/>
    </row>
    <row r="5" spans="2:26" x14ac:dyDescent="0.15">
      <c r="D5" s="29">
        <v>460000</v>
      </c>
      <c r="E5" s="347" t="s">
        <v>246</v>
      </c>
      <c r="F5" s="339"/>
      <c r="G5" s="339"/>
      <c r="H5" s="339"/>
      <c r="I5" s="339"/>
      <c r="J5" s="339"/>
      <c r="K5" s="339"/>
      <c r="L5" s="339"/>
      <c r="M5" s="338"/>
      <c r="N5" s="348"/>
      <c r="P5" s="29">
        <v>460000</v>
      </c>
      <c r="Q5" s="334" t="s">
        <v>224</v>
      </c>
      <c r="R5" s="335"/>
      <c r="S5" s="335"/>
      <c r="T5" s="335"/>
      <c r="U5" s="335"/>
      <c r="V5" s="334"/>
      <c r="W5" s="335"/>
      <c r="X5" s="335"/>
      <c r="Y5" s="335"/>
      <c r="Z5" s="335"/>
    </row>
    <row r="6" spans="2:26" x14ac:dyDescent="0.15">
      <c r="D6" s="29">
        <v>470000</v>
      </c>
      <c r="E6" s="347" t="s">
        <v>247</v>
      </c>
      <c r="F6" s="339"/>
      <c r="G6" s="339"/>
      <c r="H6" s="339"/>
      <c r="I6" s="339"/>
      <c r="J6" s="339"/>
      <c r="K6" s="339"/>
      <c r="L6" s="339"/>
      <c r="M6" s="338"/>
      <c r="N6" s="348"/>
      <c r="P6" s="29">
        <v>470000</v>
      </c>
      <c r="Q6" s="334" t="s">
        <v>198</v>
      </c>
      <c r="R6" s="335"/>
      <c r="S6" s="335"/>
      <c r="T6" s="335"/>
      <c r="U6" s="335"/>
      <c r="V6" s="334"/>
      <c r="W6" s="335"/>
      <c r="X6" s="335"/>
      <c r="Y6" s="335"/>
      <c r="Z6" s="335"/>
    </row>
    <row r="7" spans="2:26" x14ac:dyDescent="0.15">
      <c r="D7" s="29">
        <v>480000</v>
      </c>
      <c r="E7" s="347" t="s">
        <v>248</v>
      </c>
      <c r="F7" s="339"/>
      <c r="G7" s="339"/>
      <c r="H7" s="339"/>
      <c r="I7" s="339"/>
      <c r="J7" s="339"/>
      <c r="K7" s="339"/>
      <c r="L7" s="339"/>
      <c r="M7" s="338"/>
      <c r="N7" s="348"/>
      <c r="P7" s="29">
        <v>480000</v>
      </c>
      <c r="Q7" s="334" t="s">
        <v>225</v>
      </c>
      <c r="R7" s="335"/>
      <c r="S7" s="335"/>
      <c r="T7" s="335"/>
      <c r="U7" s="335"/>
      <c r="V7" s="334"/>
      <c r="W7" s="335"/>
      <c r="X7" s="335"/>
      <c r="Y7" s="335"/>
      <c r="Z7" s="335"/>
    </row>
    <row r="8" spans="2:26" x14ac:dyDescent="0.15">
      <c r="D8" s="29">
        <v>490000</v>
      </c>
      <c r="E8" s="347" t="s">
        <v>249</v>
      </c>
      <c r="F8" s="339"/>
      <c r="G8" s="339"/>
      <c r="H8" s="339"/>
      <c r="I8" s="339"/>
      <c r="J8" s="339"/>
      <c r="K8" s="339"/>
      <c r="L8" s="339"/>
      <c r="M8" s="338"/>
      <c r="N8" s="348"/>
      <c r="P8" s="29">
        <v>490000</v>
      </c>
      <c r="Q8" s="334" t="s">
        <v>226</v>
      </c>
      <c r="R8" s="335"/>
      <c r="S8" s="335"/>
      <c r="T8" s="335"/>
      <c r="U8" s="335"/>
      <c r="V8" s="334"/>
      <c r="W8" s="335"/>
      <c r="X8" s="335"/>
      <c r="Y8" s="335"/>
      <c r="Z8" s="335"/>
    </row>
    <row r="9" spans="2:26" x14ac:dyDescent="0.15">
      <c r="D9" s="29">
        <v>500000</v>
      </c>
      <c r="E9" s="347" t="s">
        <v>250</v>
      </c>
      <c r="F9" s="339"/>
      <c r="G9" s="339"/>
      <c r="H9" s="339"/>
      <c r="I9" s="339"/>
      <c r="J9" s="339"/>
      <c r="K9" s="339"/>
      <c r="L9" s="339"/>
      <c r="M9" s="338"/>
      <c r="N9" s="348"/>
      <c r="P9" s="29">
        <v>500000</v>
      </c>
      <c r="Q9" s="334" t="s">
        <v>227</v>
      </c>
      <c r="R9" s="335"/>
      <c r="S9" s="335"/>
      <c r="T9" s="335"/>
      <c r="U9" s="335"/>
      <c r="V9" s="334"/>
      <c r="W9" s="335"/>
      <c r="X9" s="335"/>
      <c r="Y9" s="335"/>
      <c r="Z9" s="335"/>
    </row>
    <row r="12" spans="2:26" ht="14.25" thickBot="1" x14ac:dyDescent="0.2"/>
    <row r="13" spans="2:26" ht="14.25" thickBot="1" x14ac:dyDescent="0.2">
      <c r="C13">
        <v>3</v>
      </c>
      <c r="D13" s="137" t="s">
        <v>214</v>
      </c>
      <c r="E13" s="343">
        <f>VLOOKUP($B$3,D14:E19,2,0)</f>
        <v>5640000</v>
      </c>
      <c r="F13" s="344"/>
      <c r="G13" s="344"/>
      <c r="H13" s="344"/>
      <c r="I13" s="344"/>
      <c r="J13" s="344"/>
      <c r="K13" s="344"/>
      <c r="L13" s="344"/>
      <c r="M13" s="344"/>
      <c r="N13" s="345"/>
    </row>
    <row r="14" spans="2:26" x14ac:dyDescent="0.15">
      <c r="D14" s="29">
        <v>450000</v>
      </c>
      <c r="E14" s="347">
        <f>+D14*12</f>
        <v>5400000</v>
      </c>
      <c r="F14" s="339"/>
      <c r="G14" s="339"/>
      <c r="H14" s="339"/>
      <c r="I14" s="339"/>
      <c r="J14" s="339"/>
      <c r="K14" s="339"/>
      <c r="L14" s="339"/>
      <c r="M14" s="338"/>
      <c r="N14" s="348"/>
      <c r="V14" s="336"/>
      <c r="W14" s="335"/>
      <c r="X14" s="335"/>
      <c r="Y14" s="335"/>
      <c r="Z14" s="335"/>
    </row>
    <row r="15" spans="2:26" x14ac:dyDescent="0.15">
      <c r="D15" s="29">
        <v>460000</v>
      </c>
      <c r="E15" s="347">
        <f t="shared" ref="E15:E19" si="0">+D15*12</f>
        <v>5520000</v>
      </c>
      <c r="F15" s="339"/>
      <c r="G15" s="339"/>
      <c r="H15" s="339"/>
      <c r="I15" s="339"/>
      <c r="J15" s="339"/>
      <c r="K15" s="339"/>
      <c r="L15" s="339"/>
      <c r="M15" s="338"/>
      <c r="N15" s="348"/>
    </row>
    <row r="16" spans="2:26" x14ac:dyDescent="0.15">
      <c r="D16" s="29">
        <v>470000</v>
      </c>
      <c r="E16" s="347">
        <f t="shared" si="0"/>
        <v>5640000</v>
      </c>
      <c r="F16" s="339"/>
      <c r="G16" s="339"/>
      <c r="H16" s="339"/>
      <c r="I16" s="339"/>
      <c r="J16" s="339"/>
      <c r="K16" s="339"/>
      <c r="L16" s="339"/>
      <c r="M16" s="338"/>
      <c r="N16" s="348"/>
    </row>
    <row r="17" spans="2:26" x14ac:dyDescent="0.15">
      <c r="D17" s="29">
        <v>480000</v>
      </c>
      <c r="E17" s="347">
        <f t="shared" si="0"/>
        <v>5760000</v>
      </c>
      <c r="F17" s="339"/>
      <c r="G17" s="339"/>
      <c r="H17" s="339"/>
      <c r="I17" s="339"/>
      <c r="J17" s="339"/>
      <c r="K17" s="339"/>
      <c r="L17" s="339"/>
      <c r="M17" s="338"/>
      <c r="N17" s="348"/>
    </row>
    <row r="18" spans="2:26" x14ac:dyDescent="0.15">
      <c r="D18" s="29">
        <v>490000</v>
      </c>
      <c r="E18" s="347">
        <f t="shared" si="0"/>
        <v>5880000</v>
      </c>
      <c r="F18" s="339"/>
      <c r="G18" s="339"/>
      <c r="H18" s="339"/>
      <c r="I18" s="339"/>
      <c r="J18" s="339"/>
      <c r="K18" s="339"/>
      <c r="L18" s="339"/>
      <c r="M18" s="338"/>
      <c r="N18" s="348"/>
    </row>
    <row r="19" spans="2:26" x14ac:dyDescent="0.15">
      <c r="D19" s="29">
        <v>500000</v>
      </c>
      <c r="E19" s="347">
        <f t="shared" si="0"/>
        <v>6000000</v>
      </c>
      <c r="F19" s="339"/>
      <c r="G19" s="339"/>
      <c r="H19" s="339"/>
      <c r="I19" s="339"/>
      <c r="J19" s="339"/>
      <c r="K19" s="339"/>
      <c r="L19" s="339"/>
      <c r="M19" s="338"/>
      <c r="N19" s="348"/>
      <c r="V19" s="336"/>
      <c r="W19" s="335"/>
      <c r="X19" s="335"/>
      <c r="Y19" s="335"/>
      <c r="Z19" s="335"/>
    </row>
    <row r="22" spans="2:26" ht="14.25" thickBot="1" x14ac:dyDescent="0.2"/>
    <row r="23" spans="2:26" ht="14.25" thickBot="1" x14ac:dyDescent="0.2">
      <c r="B23" s="144">
        <f>+入力シート!D26</f>
        <v>280000</v>
      </c>
      <c r="C23">
        <v>4</v>
      </c>
      <c r="D23" s="137" t="s">
        <v>214</v>
      </c>
      <c r="E23" s="343" t="str">
        <f>VLOOKUP($B$23,D24:N29,2,0)</f>
        <v>３３６万円〕  ×  １／２</v>
      </c>
      <c r="F23" s="344"/>
      <c r="G23" s="344"/>
      <c r="H23" s="344"/>
      <c r="I23" s="344"/>
      <c r="J23" s="343" t="str">
        <f>VLOOKUP($B$23,D24:N29,7,0)</f>
        <v>－　３３６万円 〕  ×  １／２　＋ 〔</v>
      </c>
      <c r="K23" s="344"/>
      <c r="L23" s="344"/>
      <c r="M23" s="344"/>
      <c r="N23" s="344"/>
      <c r="O23">
        <v>5</v>
      </c>
      <c r="P23" s="137" t="s">
        <v>214</v>
      </c>
      <c r="Q23" s="343">
        <f>VLOOKUP($B$23,P24:Z29,2,0)</f>
        <v>3360000</v>
      </c>
      <c r="R23" s="344"/>
      <c r="S23" s="344"/>
      <c r="T23" s="344"/>
      <c r="U23" s="344"/>
      <c r="V23" s="343" t="e">
        <f>VLOOKUP($B$25,P24:Z29,7,0)</f>
        <v>#N/A</v>
      </c>
      <c r="W23" s="344"/>
      <c r="X23" s="344"/>
      <c r="Y23" s="344"/>
      <c r="Z23" s="344"/>
    </row>
    <row r="24" spans="2:26" x14ac:dyDescent="0.15">
      <c r="D24" s="29">
        <v>260000</v>
      </c>
      <c r="E24" s="336" t="s">
        <v>240</v>
      </c>
      <c r="F24" s="335"/>
      <c r="G24" s="335"/>
      <c r="H24" s="335"/>
      <c r="I24" s="335"/>
      <c r="J24" s="334" t="s">
        <v>252</v>
      </c>
      <c r="K24" s="335"/>
      <c r="L24" s="335"/>
      <c r="M24" s="335"/>
      <c r="N24" s="335"/>
      <c r="P24" s="29">
        <v>260000</v>
      </c>
      <c r="Q24" s="336">
        <f>+P24*12</f>
        <v>3120000</v>
      </c>
      <c r="R24" s="335"/>
      <c r="S24" s="335"/>
      <c r="T24" s="335"/>
      <c r="U24" s="335"/>
      <c r="V24" s="334"/>
      <c r="W24" s="335"/>
      <c r="X24" s="335"/>
      <c r="Y24" s="335"/>
      <c r="Z24" s="335"/>
    </row>
    <row r="25" spans="2:26" x14ac:dyDescent="0.15">
      <c r="D25" s="29">
        <v>270000</v>
      </c>
      <c r="E25" s="336" t="s">
        <v>241</v>
      </c>
      <c r="F25" s="335"/>
      <c r="G25" s="335"/>
      <c r="H25" s="335"/>
      <c r="I25" s="335"/>
      <c r="J25" s="334" t="s">
        <v>253</v>
      </c>
      <c r="K25" s="335"/>
      <c r="L25" s="335"/>
      <c r="M25" s="335"/>
      <c r="N25" s="335"/>
      <c r="P25" s="29">
        <v>270000</v>
      </c>
      <c r="Q25" s="336">
        <f t="shared" ref="Q25:Q29" si="1">+P25*12</f>
        <v>3240000</v>
      </c>
      <c r="R25" s="335"/>
      <c r="S25" s="335"/>
      <c r="T25" s="335"/>
      <c r="U25" s="335"/>
      <c r="V25" s="334"/>
      <c r="W25" s="335"/>
      <c r="X25" s="335"/>
      <c r="Y25" s="335"/>
      <c r="Z25" s="335"/>
    </row>
    <row r="26" spans="2:26" x14ac:dyDescent="0.15">
      <c r="D26" s="29">
        <v>280000</v>
      </c>
      <c r="E26" s="336" t="s">
        <v>196</v>
      </c>
      <c r="F26" s="335"/>
      <c r="G26" s="335"/>
      <c r="H26" s="335"/>
      <c r="I26" s="335"/>
      <c r="J26" s="334" t="s">
        <v>251</v>
      </c>
      <c r="K26" s="335"/>
      <c r="L26" s="335"/>
      <c r="M26" s="335"/>
      <c r="N26" s="335"/>
      <c r="P26" s="29">
        <v>280000</v>
      </c>
      <c r="Q26" s="336">
        <f t="shared" si="1"/>
        <v>3360000</v>
      </c>
      <c r="R26" s="335"/>
      <c r="S26" s="335"/>
      <c r="T26" s="335"/>
      <c r="U26" s="335"/>
      <c r="V26" s="334"/>
      <c r="W26" s="335"/>
      <c r="X26" s="335"/>
      <c r="Y26" s="335"/>
      <c r="Z26" s="335"/>
    </row>
    <row r="27" spans="2:26" x14ac:dyDescent="0.15">
      <c r="D27" s="29">
        <v>290000</v>
      </c>
      <c r="E27" s="336" t="s">
        <v>242</v>
      </c>
      <c r="F27" s="335"/>
      <c r="G27" s="335"/>
      <c r="H27" s="335"/>
      <c r="I27" s="335"/>
      <c r="J27" s="334" t="s">
        <v>254</v>
      </c>
      <c r="K27" s="335"/>
      <c r="L27" s="335"/>
      <c r="M27" s="335"/>
      <c r="N27" s="335"/>
      <c r="P27" s="29">
        <v>290000</v>
      </c>
      <c r="Q27" s="336">
        <f t="shared" si="1"/>
        <v>3480000</v>
      </c>
      <c r="R27" s="335"/>
      <c r="S27" s="335"/>
      <c r="T27" s="335"/>
      <c r="U27" s="335"/>
      <c r="V27" s="334"/>
      <c r="W27" s="335"/>
      <c r="X27" s="335"/>
      <c r="Y27" s="335"/>
      <c r="Z27" s="335"/>
    </row>
    <row r="28" spans="2:26" x14ac:dyDescent="0.15">
      <c r="D28" s="29">
        <v>300000</v>
      </c>
      <c r="E28" s="336" t="s">
        <v>243</v>
      </c>
      <c r="F28" s="335"/>
      <c r="G28" s="335"/>
      <c r="H28" s="335"/>
      <c r="I28" s="335"/>
      <c r="J28" s="334" t="s">
        <v>255</v>
      </c>
      <c r="K28" s="335"/>
      <c r="L28" s="335"/>
      <c r="M28" s="335"/>
      <c r="N28" s="335"/>
      <c r="P28" s="29">
        <v>300000</v>
      </c>
      <c r="Q28" s="336">
        <f t="shared" si="1"/>
        <v>3600000</v>
      </c>
      <c r="R28" s="335"/>
      <c r="S28" s="335"/>
      <c r="T28" s="335"/>
      <c r="U28" s="335"/>
      <c r="V28" s="334"/>
      <c r="W28" s="335"/>
      <c r="X28" s="335"/>
      <c r="Y28" s="335"/>
      <c r="Z28" s="335"/>
    </row>
    <row r="29" spans="2:26" x14ac:dyDescent="0.15">
      <c r="D29" s="29">
        <v>310000</v>
      </c>
      <c r="E29" s="336" t="s">
        <v>244</v>
      </c>
      <c r="F29" s="335"/>
      <c r="G29" s="335"/>
      <c r="H29" s="335"/>
      <c r="I29" s="335"/>
      <c r="J29" s="334" t="s">
        <v>256</v>
      </c>
      <c r="K29" s="335"/>
      <c r="L29" s="335"/>
      <c r="M29" s="335"/>
      <c r="N29" s="335"/>
      <c r="P29" s="29">
        <v>310000</v>
      </c>
      <c r="Q29" s="336">
        <f t="shared" si="1"/>
        <v>3720000</v>
      </c>
      <c r="R29" s="335"/>
      <c r="S29" s="335"/>
      <c r="T29" s="335"/>
      <c r="U29" s="335"/>
      <c r="V29" s="334"/>
      <c r="W29" s="335"/>
      <c r="X29" s="335"/>
      <c r="Y29" s="335"/>
      <c r="Z29" s="335"/>
    </row>
  </sheetData>
  <mergeCells count="57">
    <mergeCell ref="V29:Z29"/>
    <mergeCell ref="J29:N29"/>
    <mergeCell ref="E23:I23"/>
    <mergeCell ref="J23:N23"/>
    <mergeCell ref="Q23:U23"/>
    <mergeCell ref="V23:Z23"/>
    <mergeCell ref="Q24:U24"/>
    <mergeCell ref="V24:Z24"/>
    <mergeCell ref="Q25:U25"/>
    <mergeCell ref="V25:Z25"/>
    <mergeCell ref="Q26:U26"/>
    <mergeCell ref="V26:Z26"/>
    <mergeCell ref="Q27:U27"/>
    <mergeCell ref="V27:Z27"/>
    <mergeCell ref="Q28:U28"/>
    <mergeCell ref="V28:Z28"/>
    <mergeCell ref="Q29:U29"/>
    <mergeCell ref="E24:I24"/>
    <mergeCell ref="J24:N24"/>
    <mergeCell ref="E25:I25"/>
    <mergeCell ref="J25:N25"/>
    <mergeCell ref="E26:I26"/>
    <mergeCell ref="J26:N26"/>
    <mergeCell ref="E27:I27"/>
    <mergeCell ref="J27:N27"/>
    <mergeCell ref="E28:I28"/>
    <mergeCell ref="J28:N28"/>
    <mergeCell ref="E29:I29"/>
    <mergeCell ref="V14:Z14"/>
    <mergeCell ref="V19:Z19"/>
    <mergeCell ref="E19:N19"/>
    <mergeCell ref="E13:N13"/>
    <mergeCell ref="E14:N14"/>
    <mergeCell ref="E15:N15"/>
    <mergeCell ref="E16:N16"/>
    <mergeCell ref="E17:N17"/>
    <mergeCell ref="E18:N18"/>
    <mergeCell ref="E8:N8"/>
    <mergeCell ref="Q8:U8"/>
    <mergeCell ref="V8:Z8"/>
    <mergeCell ref="E9:N9"/>
    <mergeCell ref="Q9:U9"/>
    <mergeCell ref="V9:Z9"/>
    <mergeCell ref="E6:N6"/>
    <mergeCell ref="Q6:U6"/>
    <mergeCell ref="V6:Z6"/>
    <mergeCell ref="E7:N7"/>
    <mergeCell ref="Q7:U7"/>
    <mergeCell ref="V7:Z7"/>
    <mergeCell ref="E5:N5"/>
    <mergeCell ref="Q5:U5"/>
    <mergeCell ref="V5:Z5"/>
    <mergeCell ref="E3:N3"/>
    <mergeCell ref="Q3:Z3"/>
    <mergeCell ref="E4:N4"/>
    <mergeCell ref="Q4:U4"/>
    <mergeCell ref="V4:Z4"/>
  </mergeCells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P60"/>
  <sheetViews>
    <sheetView zoomScaleNormal="100" workbookViewId="0">
      <selection activeCell="D5" sqref="D5:E5"/>
    </sheetView>
  </sheetViews>
  <sheetFormatPr defaultRowHeight="13.5" x14ac:dyDescent="0.15"/>
  <cols>
    <col min="1" max="1" width="13.125" customWidth="1"/>
    <col min="2" max="3" width="8.5" customWidth="1"/>
    <col min="4" max="5" width="5.625" customWidth="1"/>
    <col min="6" max="6" width="17.25" customWidth="1"/>
    <col min="7" max="7" width="4.75" customWidth="1"/>
    <col min="8" max="8" width="18.75" customWidth="1"/>
    <col min="9" max="9" width="8.75" customWidth="1"/>
  </cols>
  <sheetData>
    <row r="1" spans="1:9" x14ac:dyDescent="0.15">
      <c r="A1" s="335" t="s">
        <v>22</v>
      </c>
      <c r="B1" s="335"/>
      <c r="C1" s="335"/>
      <c r="D1" s="335"/>
      <c r="E1" s="335"/>
      <c r="F1" s="335"/>
      <c r="G1" s="335"/>
      <c r="H1" s="335"/>
      <c r="I1" s="335"/>
    </row>
    <row r="2" spans="1:9" ht="14.25" thickBot="1" x14ac:dyDescent="0.2">
      <c r="C2" s="20"/>
    </row>
    <row r="3" spans="1:9" ht="14.25" thickBot="1" x14ac:dyDescent="0.2">
      <c r="A3" s="349" t="s">
        <v>19</v>
      </c>
      <c r="B3" s="349"/>
      <c r="C3" s="350"/>
      <c r="D3" s="351" t="s">
        <v>20</v>
      </c>
      <c r="E3" s="352"/>
    </row>
    <row r="4" spans="1:9" ht="14.25" thickBot="1" x14ac:dyDescent="0.2">
      <c r="A4" s="361" t="s">
        <v>0</v>
      </c>
      <c r="B4" s="362"/>
      <c r="C4" s="362"/>
      <c r="D4" s="23">
        <v>27</v>
      </c>
      <c r="E4" s="24">
        <v>10</v>
      </c>
    </row>
    <row r="5" spans="1:9" x14ac:dyDescent="0.15">
      <c r="A5" s="350" t="s">
        <v>1</v>
      </c>
      <c r="B5" s="363"/>
      <c r="C5" s="363"/>
      <c r="D5" s="364">
        <f>+入力シート!D6</f>
        <v>98000</v>
      </c>
      <c r="E5" s="365"/>
      <c r="F5" t="s">
        <v>112</v>
      </c>
    </row>
    <row r="6" spans="1:9" x14ac:dyDescent="0.15">
      <c r="A6" s="368" t="s">
        <v>109</v>
      </c>
      <c r="B6" s="16">
        <f>IF($C6&lt;=$E$4,$D$4,$D$4-1)</f>
        <v>26</v>
      </c>
      <c r="C6" s="25">
        <f>IF($E$4-11&gt;0,$E$4-11,$E$4-11+12)</f>
        <v>11</v>
      </c>
      <c r="D6" s="366">
        <f>+入力シート!E6</f>
        <v>0</v>
      </c>
      <c r="E6" s="367"/>
      <c r="G6" s="26"/>
    </row>
    <row r="7" spans="1:9" x14ac:dyDescent="0.15">
      <c r="A7" s="369"/>
      <c r="B7" s="16">
        <f t="shared" ref="B7:B17" si="0">IF($C7&lt;=$E$4,$D$4,$D$4-1)</f>
        <v>26</v>
      </c>
      <c r="C7" s="25">
        <f>IF($E$4-10&gt;0,$E$4-10,$E$4-10+12)</f>
        <v>12</v>
      </c>
      <c r="D7" s="366">
        <f>+入力シート!F6</f>
        <v>0</v>
      </c>
      <c r="E7" s="367"/>
      <c r="G7" s="26"/>
    </row>
    <row r="8" spans="1:9" x14ac:dyDescent="0.15">
      <c r="A8" s="369"/>
      <c r="B8" s="16">
        <f t="shared" si="0"/>
        <v>27</v>
      </c>
      <c r="C8" s="25">
        <f>IF($E$4-9&gt;0,$E$4-9,$E$4-9+12)</f>
        <v>1</v>
      </c>
      <c r="D8" s="366">
        <f>+入力シート!G6</f>
        <v>0</v>
      </c>
      <c r="E8" s="367"/>
      <c r="G8" s="26"/>
    </row>
    <row r="9" spans="1:9" x14ac:dyDescent="0.15">
      <c r="A9" s="369"/>
      <c r="B9" s="16">
        <f t="shared" si="0"/>
        <v>27</v>
      </c>
      <c r="C9" s="25">
        <f>IF($E$4-8&gt;0,$E$4-8,$E$4-8+12)</f>
        <v>2</v>
      </c>
      <c r="D9" s="371"/>
      <c r="E9" s="372"/>
      <c r="G9" s="26"/>
    </row>
    <row r="10" spans="1:9" x14ac:dyDescent="0.15">
      <c r="A10" s="369"/>
      <c r="B10" s="16">
        <f t="shared" si="0"/>
        <v>27</v>
      </c>
      <c r="C10" s="25">
        <f>IF($E$4-7&gt;0,$E$4-7,$E$4-7+12)</f>
        <v>3</v>
      </c>
      <c r="D10" s="371"/>
      <c r="E10" s="372"/>
      <c r="G10" s="26"/>
    </row>
    <row r="11" spans="1:9" x14ac:dyDescent="0.15">
      <c r="A11" s="369"/>
      <c r="B11" s="16">
        <f t="shared" si="0"/>
        <v>27</v>
      </c>
      <c r="C11" s="25">
        <f>IF($E$4-6&gt;0,$E$4-6,$E$4-6+12)</f>
        <v>4</v>
      </c>
      <c r="D11" s="371"/>
      <c r="E11" s="372"/>
      <c r="G11" s="26"/>
    </row>
    <row r="12" spans="1:9" x14ac:dyDescent="0.15">
      <c r="A12" s="369"/>
      <c r="B12" s="16">
        <f t="shared" si="0"/>
        <v>27</v>
      </c>
      <c r="C12" s="25">
        <f>IF($E$4-5&gt;0,$E$4-5,$E$4-5+12)</f>
        <v>5</v>
      </c>
      <c r="D12" s="371"/>
      <c r="E12" s="372"/>
      <c r="G12" s="26"/>
    </row>
    <row r="13" spans="1:9" x14ac:dyDescent="0.15">
      <c r="A13" s="369"/>
      <c r="B13" s="16">
        <f t="shared" si="0"/>
        <v>27</v>
      </c>
      <c r="C13" s="25">
        <f>IF($E$4-4&gt;0,$E$4-4,$E$4-4+12)</f>
        <v>6</v>
      </c>
      <c r="D13" s="371"/>
      <c r="E13" s="372"/>
      <c r="G13" s="26"/>
    </row>
    <row r="14" spans="1:9" x14ac:dyDescent="0.15">
      <c r="A14" s="369"/>
      <c r="B14" s="16">
        <f t="shared" si="0"/>
        <v>27</v>
      </c>
      <c r="C14" s="25">
        <f>IF($E$4-3&gt;0,$E$4-3,$E$4-3+12)</f>
        <v>7</v>
      </c>
      <c r="D14" s="371"/>
      <c r="E14" s="372"/>
      <c r="G14" s="26"/>
    </row>
    <row r="15" spans="1:9" x14ac:dyDescent="0.15">
      <c r="A15" s="369"/>
      <c r="B15" s="16">
        <f t="shared" si="0"/>
        <v>27</v>
      </c>
      <c r="C15" s="25">
        <f>IF($E$4-2&gt;0,$E$4-2,$E$4-2+12)</f>
        <v>8</v>
      </c>
      <c r="D15" s="371"/>
      <c r="E15" s="372"/>
      <c r="G15" s="26"/>
    </row>
    <row r="16" spans="1:9" x14ac:dyDescent="0.15">
      <c r="A16" s="369"/>
      <c r="B16" s="16">
        <f t="shared" si="0"/>
        <v>27</v>
      </c>
      <c r="C16" s="25">
        <f>IF($E$4-1&gt;0,$E$4-1,$E$4-1+12)</f>
        <v>9</v>
      </c>
      <c r="D16" s="371"/>
      <c r="E16" s="372"/>
      <c r="G16" s="26"/>
    </row>
    <row r="17" spans="1:16" ht="14.25" thickBot="1" x14ac:dyDescent="0.2">
      <c r="A17" s="369"/>
      <c r="B17" s="16">
        <f t="shared" si="0"/>
        <v>27</v>
      </c>
      <c r="C17" s="25">
        <f>IF($E$4&gt;0,$E$4,$E$4+12)</f>
        <v>10</v>
      </c>
      <c r="D17" s="373"/>
      <c r="E17" s="374"/>
      <c r="G17" s="26"/>
    </row>
    <row r="18" spans="1:16" x14ac:dyDescent="0.15">
      <c r="A18" s="370"/>
      <c r="B18" s="380" t="s">
        <v>9</v>
      </c>
      <c r="C18" s="381"/>
      <c r="D18" s="382">
        <f>SUM(D6:E17)</f>
        <v>0</v>
      </c>
      <c r="E18" s="383"/>
      <c r="F18" t="s">
        <v>113</v>
      </c>
    </row>
    <row r="19" spans="1:16" x14ac:dyDescent="0.15">
      <c r="A19" s="349" t="s">
        <v>2</v>
      </c>
      <c r="B19" s="349"/>
      <c r="C19" s="349"/>
      <c r="D19" s="375">
        <f>ROUNDDOWN(D5+SUM(D6:E17)/12,0)</f>
        <v>98000</v>
      </c>
      <c r="E19" s="375"/>
      <c r="F19" t="s">
        <v>114</v>
      </c>
      <c r="G19" s="4" t="s">
        <v>23</v>
      </c>
    </row>
    <row r="20" spans="1:16" ht="14.25" thickBot="1" x14ac:dyDescent="0.2">
      <c r="G20" s="9" t="str">
        <f>IF(AND(D19+D23&gt;280000,D23&lt;=280000,D19&lt;=470000),"該当","")</f>
        <v/>
      </c>
      <c r="H20" s="22" t="s">
        <v>24</v>
      </c>
      <c r="I20" s="108" t="str">
        <f>IF(G20="該当",IF(((D19+D23-280000)/2)&gt;D23,D23,((D19+D23-280000)/2)),"")</f>
        <v/>
      </c>
    </row>
    <row r="21" spans="1:16" x14ac:dyDescent="0.15">
      <c r="A21" s="368" t="s">
        <v>3</v>
      </c>
      <c r="B21" s="356" t="s">
        <v>110</v>
      </c>
      <c r="C21" s="350"/>
      <c r="D21" s="376">
        <f>+入力シート!D9</f>
        <v>0</v>
      </c>
      <c r="E21" s="377"/>
      <c r="F21" t="s">
        <v>115</v>
      </c>
      <c r="G21" s="9" t="str">
        <f>IF(AND(D19+D23&gt;280000,D23&lt;=280000,470000&lt;D19),"該当","")</f>
        <v/>
      </c>
      <c r="H21" s="10" t="s">
        <v>25</v>
      </c>
      <c r="I21" s="108" t="str">
        <f>IF(G21="該当",IF(((470000+D23-280000)/2+(D19-470000))&gt;D23,D23,((470000+D23-280000)/2+(D19-470000))),"")</f>
        <v/>
      </c>
    </row>
    <row r="22" spans="1:16" ht="14.25" thickBot="1" x14ac:dyDescent="0.2">
      <c r="A22" s="369"/>
      <c r="B22" s="356" t="s">
        <v>111</v>
      </c>
      <c r="C22" s="350"/>
      <c r="D22" s="378">
        <f>+入力シート!E9</f>
        <v>0</v>
      </c>
      <c r="E22" s="379"/>
      <c r="F22" t="s">
        <v>116</v>
      </c>
      <c r="G22" s="9" t="str">
        <f>IF(AND(D19+D23&gt;280000,280000&lt;D23,D19&lt;=470000),"該当","")</f>
        <v/>
      </c>
      <c r="H22" s="10" t="s">
        <v>26</v>
      </c>
      <c r="I22" s="108" t="str">
        <f>IF(G22="該当",IF((D19/2)&gt;D23,D23,(D19/2)),"")</f>
        <v/>
      </c>
    </row>
    <row r="23" spans="1:16" x14ac:dyDescent="0.15">
      <c r="A23" s="369"/>
      <c r="B23" s="356" t="s">
        <v>6</v>
      </c>
      <c r="C23" s="349"/>
      <c r="D23" s="357">
        <f>ROUND((D21-D22),2)/12</f>
        <v>0</v>
      </c>
      <c r="E23" s="357"/>
      <c r="F23" t="s">
        <v>117</v>
      </c>
      <c r="G23" s="9" t="str">
        <f>IF(AND(D19+D23&gt;280000,280000&lt;D23,470000&lt;D19),"該当","")</f>
        <v/>
      </c>
      <c r="H23" s="10" t="s">
        <v>27</v>
      </c>
      <c r="I23" s="108" t="str">
        <f>IF(G23="該当",IF(((470000/2)+(D19-470000))&gt;D23,D23,(470000/2)+(D19-470000)),"")</f>
        <v/>
      </c>
    </row>
    <row r="24" spans="1:16" x14ac:dyDescent="0.15">
      <c r="A24" s="370"/>
      <c r="B24" s="353" t="s">
        <v>4</v>
      </c>
      <c r="C24" s="354"/>
      <c r="D24" s="355">
        <f>IF(D3="共済加入中",ROUNDDOWN(SUM(I20:I23)*12,0)/12,IF(D19+D23&gt;470000,IF(((D19+D23-470000)/2)&gt;D23,ROUNDDOWN(D23*12,0)/12,ROUNDDOWN((D19+D23-470000)/2*12,0)/12),0))</f>
        <v>0</v>
      </c>
      <c r="E24" s="355"/>
      <c r="F24" t="str">
        <f>IF(D3="民間在職中","⑦ ((③+⑥-47万)/2)","⑦")</f>
        <v>⑦ ((③+⑥-47万)/2)</v>
      </c>
      <c r="G24" s="4"/>
      <c r="I24" s="20"/>
    </row>
    <row r="25" spans="1:16" ht="14.25" thickBot="1" x14ac:dyDescent="0.2">
      <c r="G25" s="21" t="s">
        <v>118</v>
      </c>
      <c r="H25" s="20"/>
      <c r="I25" s="11"/>
      <c r="J25" s="20"/>
    </row>
    <row r="26" spans="1:16" ht="14.25" thickBot="1" x14ac:dyDescent="0.2">
      <c r="A26" s="368" t="s">
        <v>5</v>
      </c>
      <c r="B26" s="356" t="s">
        <v>38</v>
      </c>
      <c r="C26" s="350"/>
      <c r="D26" s="358">
        <f>+入力シート!D15</f>
        <v>0</v>
      </c>
      <c r="E26" s="359"/>
      <c r="F26" t="s">
        <v>119</v>
      </c>
      <c r="G26" s="17" t="str">
        <f>IF(AND(D19+D27&gt;280000,D27&lt;=280000,D19&lt;=470000),"該当","")</f>
        <v/>
      </c>
      <c r="H26" s="18" t="s">
        <v>28</v>
      </c>
      <c r="I26" s="108" t="str">
        <f>IF(G26="該当",IF(((D19+D27-280000)/2)&gt;D27,D27,(D19+D27-280000)/2),"")</f>
        <v/>
      </c>
    </row>
    <row r="27" spans="1:16" x14ac:dyDescent="0.15">
      <c r="A27" s="369"/>
      <c r="B27" s="356" t="s">
        <v>6</v>
      </c>
      <c r="C27" s="349"/>
      <c r="D27" s="357">
        <f>ROUND(D26,2)/12</f>
        <v>0</v>
      </c>
      <c r="E27" s="357"/>
      <c r="F27" t="s">
        <v>120</v>
      </c>
      <c r="G27" s="17" t="str">
        <f>IF(AND(D19+D27&gt;280000,D27&lt;=280000,470000&lt;D19),"該当","")</f>
        <v/>
      </c>
      <c r="H27" s="19" t="s">
        <v>29</v>
      </c>
      <c r="I27" s="108" t="str">
        <f>IF(G27="該当",IF(((470000+D27-280000)/2+(D19-470000))&gt;D27,D27,(470000+D27-280000)/2+(D19-470000)),"")</f>
        <v/>
      </c>
    </row>
    <row r="28" spans="1:16" x14ac:dyDescent="0.15">
      <c r="A28" s="370"/>
      <c r="B28" s="353" t="s">
        <v>4</v>
      </c>
      <c r="C28" s="354"/>
      <c r="D28" s="355">
        <f>IF(D3="共済加入中",0,SUM(I25:I28))</f>
        <v>0</v>
      </c>
      <c r="E28" s="355"/>
      <c r="F28" t="s">
        <v>121</v>
      </c>
      <c r="G28" s="17" t="str">
        <f>IF(AND(D19+D27&gt;280000,280000&lt;D27,D19&lt;=470000),"該当","")</f>
        <v/>
      </c>
      <c r="H28" s="19" t="s">
        <v>30</v>
      </c>
      <c r="I28" s="108" t="str">
        <f>IF(G28="該当",IF((D19/2)&gt;D27,D27,(D19/2)),"")</f>
        <v/>
      </c>
      <c r="J28" s="8"/>
    </row>
    <row r="29" spans="1:16" x14ac:dyDescent="0.15">
      <c r="A29" s="6"/>
      <c r="B29" s="106"/>
      <c r="C29" s="106"/>
      <c r="D29" s="7"/>
      <c r="E29" s="7"/>
      <c r="F29" s="20"/>
      <c r="G29" s="17" t="str">
        <f>IF(AND(D19+D27&gt;280000,280000&lt;D27,470000&lt;D19),"該当","")</f>
        <v/>
      </c>
      <c r="H29" s="19" t="s">
        <v>31</v>
      </c>
      <c r="I29" s="108" t="str">
        <f>IF(G29="該当",IF(((470000/2)+(D19-470000))&gt;D27,D27,(470000/2)+(D19-470000)),"")</f>
        <v/>
      </c>
      <c r="J29" s="109"/>
    </row>
    <row r="30" spans="1:16" x14ac:dyDescent="0.15">
      <c r="A30" s="6"/>
      <c r="B30" s="106"/>
      <c r="C30" s="106"/>
      <c r="D30" s="7"/>
      <c r="E30" s="7"/>
      <c r="G30" s="106"/>
      <c r="H30" s="10"/>
      <c r="I30" s="11"/>
      <c r="J30" s="8"/>
      <c r="P30" s="27"/>
    </row>
    <row r="31" spans="1:16" x14ac:dyDescent="0.15">
      <c r="A31" t="s">
        <v>15</v>
      </c>
    </row>
    <row r="33" spans="1:9" x14ac:dyDescent="0.15">
      <c r="A33" t="s">
        <v>7</v>
      </c>
    </row>
    <row r="34" spans="1:9" x14ac:dyDescent="0.15">
      <c r="G34" s="4" t="s">
        <v>17</v>
      </c>
    </row>
    <row r="35" spans="1:9" x14ac:dyDescent="0.15">
      <c r="A35" s="107" t="s">
        <v>3</v>
      </c>
      <c r="B35" s="349" t="s">
        <v>8</v>
      </c>
      <c r="C35" s="349"/>
      <c r="D35" s="360">
        <f>ROUND(D21-D22,2)</f>
        <v>0</v>
      </c>
      <c r="E35" s="360"/>
      <c r="F35" t="s">
        <v>122</v>
      </c>
      <c r="G35" s="5" t="str">
        <f>IF(AND(D19+D37&gt;280000,D37&lt;=280000,D19&lt;=470000),"該当","")</f>
        <v/>
      </c>
      <c r="H35" s="14" t="s">
        <v>32</v>
      </c>
      <c r="I35" s="28" t="str">
        <f>IF(G35="該当",IF(((D19+D37-280000)/2)&gt;D37,D37,(D19+D37-280000)/2),"")</f>
        <v/>
      </c>
    </row>
    <row r="36" spans="1:9" x14ac:dyDescent="0.15">
      <c r="A36" s="107" t="s">
        <v>5</v>
      </c>
      <c r="B36" s="349" t="s">
        <v>11</v>
      </c>
      <c r="C36" s="349"/>
      <c r="D36" s="360">
        <f>D26</f>
        <v>0</v>
      </c>
      <c r="E36" s="360"/>
      <c r="F36" t="s">
        <v>119</v>
      </c>
      <c r="G36" s="5" t="str">
        <f>IF(AND(D19+D37&gt;280000,D37&lt;=280000,470000&lt;D19),"該当","")</f>
        <v/>
      </c>
      <c r="H36" s="15" t="s">
        <v>33</v>
      </c>
      <c r="I36" s="28" t="str">
        <f>IF(G36="該当",IF(((470000+D37-280000)/2+(D19-470000))&gt;D37,D37,(470000+D37-280000)/2+(D19-470000)),"")</f>
        <v/>
      </c>
    </row>
    <row r="37" spans="1:9" x14ac:dyDescent="0.15">
      <c r="A37" s="349" t="s">
        <v>9</v>
      </c>
      <c r="B37" s="349" t="s">
        <v>6</v>
      </c>
      <c r="C37" s="349"/>
      <c r="D37" s="360">
        <f>SUM(D35:E36)/12</f>
        <v>0</v>
      </c>
      <c r="E37" s="360"/>
      <c r="F37" t="s">
        <v>123</v>
      </c>
      <c r="G37" s="5" t="str">
        <f>IF(AND(D19+D37&gt;280000,280000&lt;D37,D19&lt;=470000),"該当","")</f>
        <v/>
      </c>
      <c r="H37" s="15" t="s">
        <v>34</v>
      </c>
      <c r="I37" s="28" t="str">
        <f>IF(G37="該当",IF((D19/2)&gt;D37,D37,(D19/2)),"")</f>
        <v/>
      </c>
    </row>
    <row r="38" spans="1:9" x14ac:dyDescent="0.15">
      <c r="A38" s="349"/>
      <c r="B38" s="349" t="s">
        <v>10</v>
      </c>
      <c r="C38" s="349"/>
      <c r="D38" s="360">
        <f>SUM(I35:I38)</f>
        <v>0</v>
      </c>
      <c r="E38" s="360"/>
      <c r="F38" t="s">
        <v>124</v>
      </c>
      <c r="G38" s="5" t="str">
        <f>IF(AND(D19+D37&gt;280000,280000&lt;D37,470000&lt;D19),"該当","")</f>
        <v/>
      </c>
      <c r="H38" s="15" t="s">
        <v>35</v>
      </c>
      <c r="I38" s="28" t="str">
        <f>IF(G38="該当",IF(((470000/2)+(D19-470000))&gt;D37,D37,(470000/2)+(D19-470000)),"")</f>
        <v/>
      </c>
    </row>
    <row r="39" spans="1:9" x14ac:dyDescent="0.15">
      <c r="B39" s="6"/>
      <c r="C39" s="6"/>
      <c r="D39" s="12"/>
      <c r="E39" s="13"/>
      <c r="G39" s="9"/>
      <c r="H39" s="10"/>
      <c r="I39" s="11"/>
    </row>
    <row r="40" spans="1:9" x14ac:dyDescent="0.15">
      <c r="A40" s="107" t="s">
        <v>3</v>
      </c>
      <c r="B40" s="349" t="s">
        <v>10</v>
      </c>
      <c r="C40" s="349"/>
      <c r="D40" s="360" t="e">
        <f>D38*D23/(D23+D27)</f>
        <v>#DIV/0!</v>
      </c>
      <c r="E40" s="360"/>
      <c r="F40" t="s">
        <v>125</v>
      </c>
    </row>
    <row r="41" spans="1:9" x14ac:dyDescent="0.15">
      <c r="A41" s="107" t="s">
        <v>5</v>
      </c>
      <c r="B41" s="349" t="s">
        <v>10</v>
      </c>
      <c r="C41" s="349"/>
      <c r="D41" s="360" t="e">
        <f>D38*D27/(D23+D27)</f>
        <v>#DIV/0!</v>
      </c>
      <c r="E41" s="360"/>
      <c r="F41" t="s">
        <v>126</v>
      </c>
    </row>
    <row r="43" spans="1:9" x14ac:dyDescent="0.15">
      <c r="A43" t="s">
        <v>12</v>
      </c>
    </row>
    <row r="44" spans="1:9" x14ac:dyDescent="0.15">
      <c r="A44" s="384" t="s">
        <v>127</v>
      </c>
      <c r="B44" s="384"/>
      <c r="C44" s="384"/>
      <c r="D44" s="385">
        <f>(D19+D37-D24-D28)/10+D24+D28</f>
        <v>9800</v>
      </c>
      <c r="E44" s="385"/>
      <c r="F44" t="s">
        <v>128</v>
      </c>
      <c r="G44" s="335" t="str">
        <f>IF(D38&gt;D44,"⑫＞⑮　10％配慮措置該当","⑫＜⑮　10％配慮措置対象外")</f>
        <v>⑫＜⑮　10％配慮措置対象外</v>
      </c>
      <c r="H44" s="335"/>
      <c r="I44" s="335"/>
    </row>
    <row r="46" spans="1:9" x14ac:dyDescent="0.15">
      <c r="A46" s="107" t="s">
        <v>3</v>
      </c>
      <c r="B46" s="349" t="s">
        <v>10</v>
      </c>
      <c r="C46" s="349"/>
      <c r="D46" s="386" t="str">
        <f>IF(G44="⑫＞⑮　10％配慮措置該当",D44*D23/(D23+D27),"-")</f>
        <v>-</v>
      </c>
      <c r="E46" s="387"/>
      <c r="F46" t="s">
        <v>129</v>
      </c>
    </row>
    <row r="47" spans="1:9" x14ac:dyDescent="0.15">
      <c r="A47" s="107" t="s">
        <v>5</v>
      </c>
      <c r="B47" s="349" t="s">
        <v>10</v>
      </c>
      <c r="C47" s="349"/>
      <c r="D47" s="386" t="str">
        <f>IF(G44="⑫＞⑮　10％配慮措置該当",D44*D27/(D23+D27),"-")</f>
        <v>-</v>
      </c>
      <c r="E47" s="387"/>
      <c r="F47" t="s">
        <v>130</v>
      </c>
    </row>
    <row r="49" spans="1:9" x14ac:dyDescent="0.15">
      <c r="A49" t="s">
        <v>16</v>
      </c>
    </row>
    <row r="50" spans="1:9" x14ac:dyDescent="0.15">
      <c r="A50" s="384" t="s">
        <v>18</v>
      </c>
      <c r="B50" s="384"/>
      <c r="C50" s="384"/>
      <c r="D50" s="394">
        <f>IF((D19+D37-D24-D28-350000)&lt;0,D24+D28,D19+D37-D24-D28-350000+D24+D28)</f>
        <v>0</v>
      </c>
      <c r="E50" s="394"/>
      <c r="F50" t="s">
        <v>131</v>
      </c>
      <c r="G50" s="335" t="str">
        <f>IF(D38&gt;D50,"⑫＞⑱　35万円配慮措置該当","35万円配慮措置対象外")</f>
        <v>35万円配慮措置対象外</v>
      </c>
      <c r="H50" s="335"/>
      <c r="I50" s="335"/>
    </row>
    <row r="52" spans="1:9" x14ac:dyDescent="0.15">
      <c r="A52" s="107" t="s">
        <v>3</v>
      </c>
      <c r="B52" s="349" t="s">
        <v>10</v>
      </c>
      <c r="C52" s="349"/>
      <c r="D52" s="386" t="str">
        <f>IF(G50="⑫＞⑱　35万円配慮措置該当",D50*D23/(D23+D27),"-")</f>
        <v>-</v>
      </c>
      <c r="E52" s="387"/>
      <c r="F52" t="s">
        <v>132</v>
      </c>
    </row>
    <row r="53" spans="1:9" x14ac:dyDescent="0.15">
      <c r="A53" s="107" t="s">
        <v>5</v>
      </c>
      <c r="B53" s="349" t="s">
        <v>10</v>
      </c>
      <c r="C53" s="349"/>
      <c r="D53" s="386" t="str">
        <f>IF(G50="⑫＞⑱　35万円配慮措置該当",D50*D27/(D23+D27),"-")</f>
        <v>-</v>
      </c>
      <c r="E53" s="387"/>
      <c r="F53" t="s">
        <v>133</v>
      </c>
    </row>
    <row r="55" spans="1:9" x14ac:dyDescent="0.15">
      <c r="A55" t="s">
        <v>13</v>
      </c>
    </row>
    <row r="57" spans="1:9" x14ac:dyDescent="0.15">
      <c r="A57" s="388" t="s">
        <v>3</v>
      </c>
      <c r="B57" s="390" t="s">
        <v>10</v>
      </c>
      <c r="C57" s="390"/>
      <c r="D57" s="391" t="e">
        <f>IF(D3="民間在職中",ROUNDDOWN(MIN(D40,D46,D52)*12,0),ROUNDDOWN(MIN(D40,D46,D52)*12+D22,2))</f>
        <v>#DIV/0!</v>
      </c>
      <c r="E57" s="393"/>
      <c r="F57" t="str">
        <f>IF(D3="民間在職中","A min(⑬,⑯,⑲)*12","A min(⑬,⑯,⑲)*12+⑤")</f>
        <v>A min(⑬,⑯,⑲)*12</v>
      </c>
      <c r="H57" s="110" t="e">
        <f>IF(MIN(D40,D46,D52)=D46,"10%配慮措置適用",IF(MIN(D40,D46,D52)=D52,"35万円配慮措置適用",""))</f>
        <v>#DIV/0!</v>
      </c>
    </row>
    <row r="58" spans="1:9" x14ac:dyDescent="0.15">
      <c r="A58" s="389"/>
      <c r="B58" s="390" t="s">
        <v>14</v>
      </c>
      <c r="C58" s="390"/>
      <c r="D58" s="391" t="e">
        <f>IF(D21&lt;D57,0,D21-D57)</f>
        <v>#DIV/0!</v>
      </c>
      <c r="E58" s="393"/>
      <c r="F58" t="s">
        <v>134</v>
      </c>
    </row>
    <row r="59" spans="1:9" x14ac:dyDescent="0.15">
      <c r="A59" s="388" t="s">
        <v>5</v>
      </c>
      <c r="B59" s="390" t="s">
        <v>10</v>
      </c>
      <c r="C59" s="390"/>
      <c r="D59" s="391" t="e">
        <f>ROUNDDOWN(MIN(D41,D47,D53)*12,2)</f>
        <v>#DIV/0!</v>
      </c>
      <c r="E59" s="393"/>
      <c r="F59" t="s">
        <v>135</v>
      </c>
    </row>
    <row r="60" spans="1:9" x14ac:dyDescent="0.15">
      <c r="A60" s="389"/>
      <c r="B60" s="390" t="s">
        <v>14</v>
      </c>
      <c r="C60" s="390"/>
      <c r="D60" s="391" t="e">
        <f>IF(D26&lt;D59,0,D26-D59)</f>
        <v>#DIV/0!</v>
      </c>
      <c r="E60" s="392"/>
      <c r="F60" t="s">
        <v>136</v>
      </c>
    </row>
  </sheetData>
  <mergeCells count="76">
    <mergeCell ref="A1:I1"/>
    <mergeCell ref="A57:A58"/>
    <mergeCell ref="B60:C60"/>
    <mergeCell ref="D60:E60"/>
    <mergeCell ref="A59:A60"/>
    <mergeCell ref="B57:C57"/>
    <mergeCell ref="D57:E57"/>
    <mergeCell ref="B59:C59"/>
    <mergeCell ref="D59:E59"/>
    <mergeCell ref="B58:C58"/>
    <mergeCell ref="D58:E58"/>
    <mergeCell ref="D50:E50"/>
    <mergeCell ref="B52:C52"/>
    <mergeCell ref="D52:E52"/>
    <mergeCell ref="B53:C53"/>
    <mergeCell ref="D53:E53"/>
    <mergeCell ref="A50:C50"/>
    <mergeCell ref="A44:C44"/>
    <mergeCell ref="B38:C38"/>
    <mergeCell ref="D38:E38"/>
    <mergeCell ref="B40:C40"/>
    <mergeCell ref="B41:C41"/>
    <mergeCell ref="D40:E40"/>
    <mergeCell ref="D41:E41"/>
    <mergeCell ref="D44:E44"/>
    <mergeCell ref="B46:C46"/>
    <mergeCell ref="D46:E46"/>
    <mergeCell ref="B47:C47"/>
    <mergeCell ref="D47:E47"/>
    <mergeCell ref="A37:A38"/>
    <mergeCell ref="A26:A28"/>
    <mergeCell ref="D6:E6"/>
    <mergeCell ref="D35:E35"/>
    <mergeCell ref="D36:E36"/>
    <mergeCell ref="D13:E13"/>
    <mergeCell ref="B21:C21"/>
    <mergeCell ref="B22:C22"/>
    <mergeCell ref="D21:E21"/>
    <mergeCell ref="D22:E22"/>
    <mergeCell ref="D11:E11"/>
    <mergeCell ref="D12:E12"/>
    <mergeCell ref="A6:A18"/>
    <mergeCell ref="B18:C18"/>
    <mergeCell ref="D18:E18"/>
    <mergeCell ref="B35:C35"/>
    <mergeCell ref="B36:C36"/>
    <mergeCell ref="A4:C4"/>
    <mergeCell ref="A5:C5"/>
    <mergeCell ref="D5:E5"/>
    <mergeCell ref="D7:E7"/>
    <mergeCell ref="A21:A24"/>
    <mergeCell ref="D14:E14"/>
    <mergeCell ref="D15:E15"/>
    <mergeCell ref="D16:E16"/>
    <mergeCell ref="D17:E17"/>
    <mergeCell ref="A19:C19"/>
    <mergeCell ref="D19:E19"/>
    <mergeCell ref="D8:E8"/>
    <mergeCell ref="D9:E9"/>
    <mergeCell ref="D10:E10"/>
    <mergeCell ref="A3:C3"/>
    <mergeCell ref="D3:E3"/>
    <mergeCell ref="G44:I44"/>
    <mergeCell ref="G50:I50"/>
    <mergeCell ref="B24:C24"/>
    <mergeCell ref="D24:E24"/>
    <mergeCell ref="B23:C23"/>
    <mergeCell ref="D23:E23"/>
    <mergeCell ref="B28:C28"/>
    <mergeCell ref="D28:E28"/>
    <mergeCell ref="B26:C26"/>
    <mergeCell ref="D26:E26"/>
    <mergeCell ref="B27:C27"/>
    <mergeCell ref="D27:E27"/>
    <mergeCell ref="B37:C37"/>
    <mergeCell ref="D37:E37"/>
  </mergeCells>
  <phoneticPr fontId="2"/>
  <conditionalFormatting sqref="H57">
    <cfRule type="containsText" dxfId="5" priority="5" operator="containsText" text="35">
      <formula>NOT(ISERROR(SEARCH("35",H57)))</formula>
    </cfRule>
    <cfRule type="containsText" dxfId="4" priority="6" operator="containsText" text="10">
      <formula>NOT(ISERROR(SEARCH("10",H57)))</formula>
    </cfRule>
  </conditionalFormatting>
  <conditionalFormatting sqref="G19:I23">
    <cfRule type="expression" dxfId="3" priority="4">
      <formula>$D$3="民間在職中"</formula>
    </cfRule>
  </conditionalFormatting>
  <conditionalFormatting sqref="G20:I23">
    <cfRule type="expression" dxfId="2" priority="3">
      <formula>$D$3="共済加入中"</formula>
    </cfRule>
  </conditionalFormatting>
  <conditionalFormatting sqref="G25:I29">
    <cfRule type="expression" dxfId="1" priority="2">
      <formula>$D$3="共済加入中"</formula>
    </cfRule>
  </conditionalFormatting>
  <conditionalFormatting sqref="G26:I29">
    <cfRule type="expression" dxfId="0" priority="1">
      <formula>$D$3="民間在職中"</formula>
    </cfRule>
  </conditionalFormatting>
  <printOptions horizontalCentered="1"/>
  <pageMargins left="0.59055118110236227" right="0.59055118110236227" top="0.59055118110236227" bottom="0.39370078740157483" header="0.11811023622047245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C1:AS26"/>
  <sheetViews>
    <sheetView workbookViewId="0">
      <selection activeCell="D5" sqref="D5:E5"/>
    </sheetView>
  </sheetViews>
  <sheetFormatPr defaultRowHeight="13.5" x14ac:dyDescent="0.15"/>
  <cols>
    <col min="1" max="7" width="3.625" style="30" customWidth="1"/>
    <col min="8" max="8" width="3.625" style="31" customWidth="1"/>
    <col min="9" max="11" width="3.625" style="30" customWidth="1"/>
    <col min="12" max="12" width="3.625" style="31" customWidth="1"/>
    <col min="13" max="17" width="3.625" style="30" customWidth="1"/>
    <col min="18" max="18" width="3.625" style="31" customWidth="1"/>
    <col min="19" max="48" width="3.625" style="30" customWidth="1"/>
    <col min="49" max="16384" width="9" style="30"/>
  </cols>
  <sheetData>
    <row r="1" spans="3:45" ht="18.75" x14ac:dyDescent="0.15">
      <c r="D1" s="41" t="s">
        <v>54</v>
      </c>
      <c r="E1" s="42"/>
      <c r="F1" s="42"/>
      <c r="G1" s="42"/>
      <c r="H1" s="43"/>
      <c r="I1" s="42"/>
      <c r="J1" s="42"/>
      <c r="K1" s="42"/>
      <c r="L1" s="43"/>
    </row>
    <row r="4" spans="3:45" x14ac:dyDescent="0.15">
      <c r="D4" s="38" t="s">
        <v>279</v>
      </c>
    </row>
    <row r="5" spans="3:45" s="38" customFormat="1" x14ac:dyDescent="0.15">
      <c r="D5" s="38" t="s">
        <v>268</v>
      </c>
      <c r="G5" s="38" t="str">
        <f>+Sheet3!V12</f>
        <v>４７万円</v>
      </c>
      <c r="H5" s="39"/>
      <c r="I5" s="38" t="s">
        <v>278</v>
      </c>
      <c r="L5" s="39"/>
      <c r="R5" s="39"/>
      <c r="AS5" s="78"/>
    </row>
    <row r="6" spans="3:45" s="38" customFormat="1" ht="14.25" thickBot="1" x14ac:dyDescent="0.2">
      <c r="E6" s="39"/>
      <c r="F6" s="39" t="s">
        <v>64</v>
      </c>
      <c r="G6" s="39"/>
      <c r="H6" s="39"/>
      <c r="I6" s="39"/>
      <c r="J6" s="39" t="s">
        <v>65</v>
      </c>
      <c r="K6" s="39"/>
      <c r="L6" s="39"/>
      <c r="R6" s="39"/>
      <c r="T6" s="39" t="s">
        <v>80</v>
      </c>
      <c r="U6" s="39"/>
      <c r="X6" s="125" t="s">
        <v>85</v>
      </c>
      <c r="AB6" s="125" t="s">
        <v>174</v>
      </c>
      <c r="AS6" s="51"/>
    </row>
    <row r="7" spans="3:45" s="38" customFormat="1" ht="14.25" thickBot="1" x14ac:dyDescent="0.2">
      <c r="C7" s="63" t="str">
        <f>IF(E7&lt;=470000,"適用→","")</f>
        <v>適用→</v>
      </c>
      <c r="D7" s="40" t="s">
        <v>53</v>
      </c>
      <c r="E7" s="395">
        <f>+送付用1!AA10</f>
        <v>98000</v>
      </c>
      <c r="F7" s="396"/>
      <c r="G7" s="397"/>
      <c r="H7" s="50" t="s">
        <v>50</v>
      </c>
      <c r="I7" s="395">
        <f>+送付用1!X23</f>
        <v>0</v>
      </c>
      <c r="J7" s="396"/>
      <c r="K7" s="397"/>
      <c r="L7" s="69" t="s">
        <v>43</v>
      </c>
      <c r="M7" s="407" t="str">
        <f>+Sheet3!Q25</f>
        <v>２８万円</v>
      </c>
      <c r="N7" s="408"/>
      <c r="O7" s="408"/>
      <c r="P7" s="404" t="s">
        <v>66</v>
      </c>
      <c r="Q7" s="405"/>
      <c r="R7" s="406"/>
      <c r="S7" s="409">
        <f>ROUND(AA13,4)</f>
        <v>-91000</v>
      </c>
      <c r="T7" s="410"/>
      <c r="U7" s="411"/>
      <c r="V7" s="90" t="s">
        <v>84</v>
      </c>
      <c r="W7" s="395">
        <f>IF(S7&lt;I7,S7,I7)</f>
        <v>-91000</v>
      </c>
      <c r="X7" s="398"/>
      <c r="Y7" s="399"/>
      <c r="Z7" s="89" t="s">
        <v>84</v>
      </c>
      <c r="AA7" s="395">
        <f>IF(W7&lt;=0,0,W7)</f>
        <v>0</v>
      </c>
      <c r="AB7" s="396"/>
      <c r="AC7" s="397"/>
    </row>
    <row r="8" spans="3:45" s="38" customFormat="1" x14ac:dyDescent="0.15">
      <c r="D8" s="40"/>
      <c r="E8" s="45"/>
      <c r="F8" s="46"/>
      <c r="G8" s="46"/>
      <c r="H8" s="56"/>
      <c r="I8" s="45"/>
      <c r="J8" s="46"/>
      <c r="K8" s="46"/>
      <c r="L8" s="60"/>
      <c r="M8" s="56"/>
      <c r="N8" s="57"/>
      <c r="O8" s="57"/>
      <c r="P8" s="58"/>
      <c r="Q8" s="59"/>
      <c r="R8" s="61"/>
      <c r="S8" s="45"/>
      <c r="T8" s="81" t="s">
        <v>83</v>
      </c>
      <c r="U8" s="46"/>
    </row>
    <row r="9" spans="3:45" s="38" customFormat="1" x14ac:dyDescent="0.15">
      <c r="D9" s="40"/>
      <c r="E9" s="45"/>
      <c r="F9" s="46"/>
      <c r="G9" s="46"/>
      <c r="H9" s="56"/>
      <c r="I9" s="45"/>
      <c r="J9" s="46"/>
      <c r="K9" s="46"/>
      <c r="L9" s="60"/>
      <c r="M9" s="56"/>
      <c r="N9" s="57"/>
      <c r="O9" s="57"/>
      <c r="P9" s="58"/>
      <c r="Q9" s="59"/>
      <c r="R9" s="61"/>
      <c r="S9" s="45"/>
      <c r="T9" s="81" t="s">
        <v>137</v>
      </c>
      <c r="U9" s="46"/>
      <c r="AI9" s="62"/>
      <c r="AJ9" s="62"/>
      <c r="AK9" s="45"/>
      <c r="AL9" s="46"/>
      <c r="AM9" s="46"/>
    </row>
    <row r="10" spans="3:45" s="38" customFormat="1" x14ac:dyDescent="0.15">
      <c r="H10" s="39"/>
      <c r="L10" s="39"/>
      <c r="R10" s="39"/>
      <c r="T10" s="81" t="s">
        <v>40</v>
      </c>
      <c r="AI10" s="62"/>
      <c r="AJ10" s="62"/>
      <c r="AK10" s="62"/>
      <c r="AL10" s="62"/>
      <c r="AM10" s="62"/>
    </row>
    <row r="11" spans="3:45" s="38" customFormat="1" x14ac:dyDescent="0.15">
      <c r="H11" s="89"/>
      <c r="L11" s="89"/>
      <c r="X11" s="62"/>
      <c r="Y11" s="62"/>
      <c r="Z11" s="82"/>
      <c r="AA11" s="83"/>
      <c r="AB11" s="83"/>
      <c r="AC11" s="83"/>
      <c r="AD11" s="83"/>
      <c r="AE11" s="84"/>
      <c r="AI11" s="62"/>
      <c r="AJ11" s="62"/>
      <c r="AK11" s="62"/>
      <c r="AL11" s="62"/>
      <c r="AM11" s="62"/>
    </row>
    <row r="12" spans="3:45" s="38" customFormat="1" ht="14.25" thickBot="1" x14ac:dyDescent="0.2">
      <c r="H12" s="89"/>
      <c r="L12" s="89"/>
      <c r="X12" s="62"/>
      <c r="Y12" s="62"/>
      <c r="Z12" s="84"/>
      <c r="AA12" s="62"/>
      <c r="AB12" s="49" t="s">
        <v>80</v>
      </c>
      <c r="AC12" s="49"/>
      <c r="AD12" s="62"/>
      <c r="AE12" s="84"/>
      <c r="AI12" s="62"/>
      <c r="AJ12" s="62"/>
      <c r="AK12" s="62"/>
      <c r="AL12" s="62"/>
      <c r="AM12" s="62"/>
    </row>
    <row r="13" spans="3:45" s="38" customFormat="1" ht="14.25" thickBot="1" x14ac:dyDescent="0.2">
      <c r="H13" s="89"/>
      <c r="L13" s="89"/>
      <c r="X13" s="62"/>
      <c r="Y13" s="62"/>
      <c r="Z13" s="84"/>
      <c r="AA13" s="395">
        <f>+(E7+I7-E24)/2</f>
        <v>-91000</v>
      </c>
      <c r="AB13" s="398"/>
      <c r="AC13" s="399"/>
      <c r="AD13" s="62"/>
      <c r="AE13" s="84"/>
      <c r="AI13" s="62"/>
      <c r="AJ13" s="62"/>
      <c r="AK13" s="62"/>
      <c r="AL13" s="62"/>
      <c r="AM13" s="62"/>
    </row>
    <row r="14" spans="3:45" s="38" customFormat="1" x14ac:dyDescent="0.15">
      <c r="H14" s="89"/>
      <c r="L14" s="89"/>
      <c r="X14" s="62"/>
      <c r="Y14" s="62"/>
      <c r="Z14" s="85"/>
      <c r="AA14" s="86"/>
      <c r="AB14" s="86"/>
      <c r="AC14" s="87"/>
      <c r="AD14" s="88"/>
      <c r="AE14" s="84"/>
      <c r="AI14" s="62"/>
      <c r="AJ14" s="62"/>
      <c r="AK14" s="62"/>
      <c r="AL14" s="62"/>
      <c r="AM14" s="62"/>
    </row>
    <row r="15" spans="3:45" s="38" customFormat="1" x14ac:dyDescent="0.15">
      <c r="D15" s="38" t="s">
        <v>277</v>
      </c>
      <c r="H15" s="89"/>
      <c r="L15" s="89"/>
      <c r="R15" s="89"/>
      <c r="T15" s="81"/>
      <c r="AI15" s="62"/>
      <c r="AJ15" s="62"/>
      <c r="AK15" s="62"/>
      <c r="AL15" s="62"/>
      <c r="AM15" s="62"/>
    </row>
    <row r="16" spans="3:45" s="38" customFormat="1" x14ac:dyDescent="0.15">
      <c r="D16" s="38" t="s">
        <v>269</v>
      </c>
      <c r="G16" s="38" t="str">
        <f>+Sheet3!V12</f>
        <v>４７万円</v>
      </c>
      <c r="H16" s="39"/>
      <c r="I16" s="38" t="s">
        <v>276</v>
      </c>
      <c r="L16" s="39"/>
      <c r="R16" s="39"/>
      <c r="S16" s="70"/>
      <c r="T16" s="70"/>
      <c r="U16" s="70"/>
      <c r="AI16" s="62"/>
      <c r="AJ16" s="62"/>
      <c r="AK16" s="62"/>
      <c r="AL16" s="62"/>
      <c r="AM16" s="62"/>
    </row>
    <row r="17" spans="3:39" s="38" customFormat="1" ht="14.25" thickBot="1" x14ac:dyDescent="0.2">
      <c r="E17" s="39"/>
      <c r="F17" s="39" t="s">
        <v>65</v>
      </c>
      <c r="G17" s="39"/>
      <c r="H17" s="39"/>
      <c r="L17" s="39"/>
      <c r="R17" s="39"/>
      <c r="S17" s="71"/>
      <c r="T17" s="71" t="s">
        <v>64</v>
      </c>
      <c r="U17" s="71"/>
      <c r="V17" s="39"/>
      <c r="AB17" s="68" t="s">
        <v>80</v>
      </c>
      <c r="AC17" s="39"/>
      <c r="AF17" s="125" t="s">
        <v>85</v>
      </c>
      <c r="AJ17" s="125" t="s">
        <v>174</v>
      </c>
      <c r="AL17" s="62"/>
      <c r="AM17" s="62"/>
    </row>
    <row r="18" spans="3:39" s="38" customFormat="1" ht="14.25" thickBot="1" x14ac:dyDescent="0.2">
      <c r="C18" s="63" t="str">
        <f>IF(E7&gt;470000,"適用→","")</f>
        <v/>
      </c>
      <c r="D18" s="40" t="s">
        <v>53</v>
      </c>
      <c r="E18" s="395">
        <f>+I7</f>
        <v>0</v>
      </c>
      <c r="F18" s="396"/>
      <c r="G18" s="397"/>
      <c r="H18" s="50" t="s">
        <v>50</v>
      </c>
      <c r="I18" s="400" t="str">
        <f>+Sheet3!V12</f>
        <v>４７万円</v>
      </c>
      <c r="J18" s="396"/>
      <c r="K18" s="397"/>
      <c r="L18" s="69" t="s">
        <v>43</v>
      </c>
      <c r="M18" s="407" t="str">
        <f>+Sheet3!Q25</f>
        <v>２８万円</v>
      </c>
      <c r="N18" s="408"/>
      <c r="O18" s="408"/>
      <c r="P18" s="404" t="s">
        <v>67</v>
      </c>
      <c r="Q18" s="405"/>
      <c r="R18" s="406"/>
      <c r="S18" s="401">
        <f>+E7</f>
        <v>98000</v>
      </c>
      <c r="T18" s="402"/>
      <c r="U18" s="403"/>
      <c r="V18" s="412" t="str">
        <f>+Sheet3!Q12</f>
        <v>－  ４７万円 〕  ＝</v>
      </c>
      <c r="W18" s="394"/>
      <c r="X18" s="394"/>
      <c r="Y18" s="394"/>
      <c r="Z18" s="413"/>
      <c r="AA18" s="409">
        <f>ROUND(AA24,4)</f>
        <v>-277000</v>
      </c>
      <c r="AB18" s="410"/>
      <c r="AC18" s="411"/>
      <c r="AD18" s="90" t="s">
        <v>84</v>
      </c>
      <c r="AE18" s="395">
        <f>IF(AA18&lt;E18,AA18,E18)</f>
        <v>-277000</v>
      </c>
      <c r="AF18" s="396"/>
      <c r="AG18" s="397"/>
      <c r="AH18" s="38" t="s">
        <v>84</v>
      </c>
      <c r="AI18" s="395">
        <f>IF(AE18&lt;=0,0,AE18)</f>
        <v>0</v>
      </c>
      <c r="AJ18" s="396"/>
      <c r="AK18" s="397"/>
      <c r="AL18" s="62"/>
      <c r="AM18" s="62"/>
    </row>
    <row r="19" spans="3:39" s="38" customFormat="1" x14ac:dyDescent="0.15">
      <c r="E19" s="52"/>
      <c r="F19" s="52"/>
      <c r="G19" s="52"/>
      <c r="H19" s="50"/>
      <c r="I19" s="52"/>
      <c r="J19" s="52"/>
      <c r="K19" s="52"/>
      <c r="L19" s="50"/>
      <c r="M19" s="52"/>
      <c r="N19" s="52"/>
      <c r="O19" s="52"/>
      <c r="P19" s="52"/>
      <c r="Q19" s="52"/>
      <c r="R19" s="50"/>
      <c r="S19" s="73"/>
      <c r="T19" s="73"/>
      <c r="U19" s="73"/>
      <c r="V19" s="52"/>
      <c r="W19" s="52"/>
      <c r="X19" s="52"/>
      <c r="Y19" s="52"/>
      <c r="Z19" s="52"/>
      <c r="AA19" s="52"/>
      <c r="AB19" s="81" t="s">
        <v>83</v>
      </c>
      <c r="AC19" s="52"/>
      <c r="AD19" s="52"/>
      <c r="AE19" s="52"/>
      <c r="AF19" s="52"/>
      <c r="AG19" s="52"/>
      <c r="AH19" s="52"/>
      <c r="AI19" s="74"/>
      <c r="AJ19" s="74"/>
      <c r="AK19" s="62"/>
      <c r="AL19" s="62"/>
      <c r="AM19" s="62"/>
    </row>
    <row r="20" spans="3:39" x14ac:dyDescent="0.15">
      <c r="S20" s="72"/>
      <c r="T20" s="72"/>
      <c r="U20" s="72"/>
      <c r="AB20" s="81" t="s">
        <v>40</v>
      </c>
      <c r="AI20" s="34"/>
      <c r="AJ20" s="34"/>
      <c r="AK20" s="34"/>
      <c r="AL20" s="34"/>
      <c r="AM20" s="34"/>
    </row>
    <row r="21" spans="3:39" x14ac:dyDescent="0.15">
      <c r="AB21" s="81" t="s">
        <v>138</v>
      </c>
      <c r="AK21" s="62"/>
      <c r="AL21" s="62"/>
      <c r="AM21" s="49"/>
    </row>
    <row r="22" spans="3:39" x14ac:dyDescent="0.15">
      <c r="Z22" s="82"/>
      <c r="AA22" s="83"/>
      <c r="AB22" s="83"/>
      <c r="AC22" s="83"/>
      <c r="AD22" s="83"/>
      <c r="AE22" s="91"/>
      <c r="AK22" s="34"/>
      <c r="AL22" s="34"/>
      <c r="AM22" s="51"/>
    </row>
    <row r="23" spans="3:39" ht="14.25" thickBot="1" x14ac:dyDescent="0.2">
      <c r="Z23" s="84"/>
      <c r="AA23" s="62"/>
      <c r="AB23" s="49" t="s">
        <v>80</v>
      </c>
      <c r="AC23" s="49"/>
      <c r="AD23" s="62"/>
      <c r="AE23" s="91"/>
      <c r="AK23" s="34"/>
      <c r="AL23" s="34"/>
      <c r="AM23" s="62"/>
    </row>
    <row r="24" spans="3:39" ht="14.25" thickBot="1" x14ac:dyDescent="0.2">
      <c r="E24" s="395">
        <f>+Sheet3!B25</f>
        <v>280000</v>
      </c>
      <c r="F24" s="396"/>
      <c r="G24" s="397"/>
      <c r="Z24" s="84"/>
      <c r="AA24" s="395">
        <f>+(E18+E26-E24)/2+S18-E26</f>
        <v>-277000</v>
      </c>
      <c r="AB24" s="396"/>
      <c r="AC24" s="397"/>
      <c r="AD24" s="62"/>
      <c r="AE24" s="91"/>
      <c r="AK24" s="62"/>
      <c r="AL24" s="62"/>
      <c r="AM24" s="62"/>
    </row>
    <row r="25" spans="3:39" ht="14.25" thickBot="1" x14ac:dyDescent="0.2">
      <c r="Z25" s="85"/>
      <c r="AA25" s="86"/>
      <c r="AB25" s="86"/>
      <c r="AC25" s="87"/>
      <c r="AD25" s="88"/>
      <c r="AE25" s="91"/>
      <c r="AK25" s="34"/>
      <c r="AL25" s="34"/>
      <c r="AM25" s="34"/>
    </row>
    <row r="26" spans="3:39" ht="14.25" thickBot="1" x14ac:dyDescent="0.2">
      <c r="E26" s="395">
        <f>+Sheet3!B3</f>
        <v>470000</v>
      </c>
      <c r="F26" s="396"/>
      <c r="G26" s="397"/>
    </row>
  </sheetData>
  <mergeCells count="20">
    <mergeCell ref="S7:U7"/>
    <mergeCell ref="AA7:AC7"/>
    <mergeCell ref="W7:Y7"/>
    <mergeCell ref="AA24:AC24"/>
    <mergeCell ref="AI18:AK18"/>
    <mergeCell ref="AA18:AC18"/>
    <mergeCell ref="AE18:AG18"/>
    <mergeCell ref="V18:Z18"/>
    <mergeCell ref="I7:K7"/>
    <mergeCell ref="E7:G7"/>
    <mergeCell ref="P7:R7"/>
    <mergeCell ref="P18:R18"/>
    <mergeCell ref="M7:O7"/>
    <mergeCell ref="M18:O18"/>
    <mergeCell ref="E24:G24"/>
    <mergeCell ref="E26:G26"/>
    <mergeCell ref="AA13:AC13"/>
    <mergeCell ref="E18:G18"/>
    <mergeCell ref="I18:K18"/>
    <mergeCell ref="S18:U18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6</vt:i4>
      </vt:variant>
    </vt:vector>
  </HeadingPairs>
  <TitlesOfParts>
    <vt:vector size="17" baseType="lpstr">
      <vt:lpstr>送付用0</vt:lpstr>
      <vt:lpstr>送付用1</vt:lpstr>
      <vt:lpstr>送付用（給47超）0</vt:lpstr>
      <vt:lpstr>送付用（給46超）1</vt:lpstr>
      <vt:lpstr>入力シート</vt:lpstr>
      <vt:lpstr>Sheet3</vt:lpstr>
      <vt:lpstr>Sheet4</vt:lpstr>
      <vt:lpstr>算定シート1</vt:lpstr>
      <vt:lpstr>算定シート2</vt:lpstr>
      <vt:lpstr>Sheet2</vt:lpstr>
      <vt:lpstr>Sheet1</vt:lpstr>
      <vt:lpstr>算定シート1!Print_Area</vt:lpstr>
      <vt:lpstr>'送付用（給46超）1'!Print_Area</vt:lpstr>
      <vt:lpstr>'送付用（給47超）0'!Print_Area</vt:lpstr>
      <vt:lpstr>送付用0!Print_Area</vt:lpstr>
      <vt:lpstr>送付用1!Print_Area</vt:lpstr>
      <vt:lpstr>入力シート!Print_Area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2017-11-20T08:37:02Z</cp:lastPrinted>
  <dcterms:created xsi:type="dcterms:W3CDTF">2014-09-01T01:45:23Z</dcterms:created>
  <dcterms:modified xsi:type="dcterms:W3CDTF">2019-05-16T00:30:53Z</dcterms:modified>
</cp:coreProperties>
</file>